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LILIANA\LILIANA\2025\LILI 2025\EVIDENCIAS\EVIDENCIAS JUNIO\Sentencia Río Guáitara\"/>
    </mc:Choice>
  </mc:AlternateContent>
  <bookViews>
    <workbookView xWindow="0" yWindow="0" windowWidth="20160" windowHeight="8256"/>
  </bookViews>
  <sheets>
    <sheet name="MAO" sheetId="1" r:id="rId1"/>
  </sheets>
  <externalReferences>
    <externalReference r:id="rId2"/>
    <externalReference r:id="rId3"/>
    <externalReference r:id="rId4"/>
    <externalReference r:id="rId5"/>
    <externalReference r:id="rId6"/>
  </externalReferences>
  <definedNames>
    <definedName name="_xlnm._FilterDatabase" localSheetId="0" hidden="1">MAO!$N$2:$N$196</definedName>
    <definedName name="activo">[1]DESPLEGABLES!#REF!</definedName>
    <definedName name="activo2">[1]DESPLEGABLES!#REF!</definedName>
    <definedName name="bien_o_servicio">[1]DESPLEGABLES!#REF!</definedName>
    <definedName name="CPC">[1]DESPLEGABLES!#REF!</definedName>
    <definedName name="Derechos_administrativos">[1]DESPLEGABLES!#REF!</definedName>
    <definedName name="Fondos">[1]DESPLEGABLES!#REF!</definedName>
    <definedName name="PROGRAMAS">'[2]Sectores-Programas-Subprogramas'!$C$4:$D$179</definedName>
    <definedName name="secores">'[3]Sectores y Programas'!$H$5:$I$34</definedName>
    <definedName name="SECTORES">[4]!SECTOR[#Data]</definedName>
    <definedName name="TIPO_DE_INGRESO">[1]DESPLEGABLES!#REF!</definedName>
    <definedName name="TIPO_DE_INGRESO_A_REGISTRAR">[1]DESPLEGABLES!#REF!</definedName>
    <definedName name="TIPO_INGRESO">[1]DESPLEGABLES!#REF!</definedName>
    <definedName name="_xlnm.Print_Titles" localSheetId="0">MAO!$1:$3</definedName>
    <definedName name="Ventas_de_establecimientos_de_mercado">[1]DESPLEGABLES!#REF!</definedName>
    <definedName name="Ventas_incidentales_de_establecimiento_no_de_mercado">[1]DESPLEGABLES!#REF!</definedName>
    <definedName name="Ventas_incidentales_de_establecimientos_no_de_mercado">[1]DESPLEGABLES!#REF!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O191" i="1" l="1"/>
  <c r="AN191" i="1"/>
  <c r="AK191" i="1"/>
  <c r="AI191" i="1" s="1"/>
  <c r="AJ191" i="1"/>
  <c r="AF191" i="1"/>
  <c r="AE191" i="1"/>
  <c r="AH191" i="1" s="1"/>
  <c r="AC191" i="1"/>
  <c r="AB191" i="1"/>
  <c r="AO187" i="1"/>
  <c r="AK187" i="1"/>
  <c r="AG187" i="1"/>
  <c r="B187" i="1"/>
  <c r="AT186" i="1"/>
  <c r="AS186" i="1"/>
  <c r="AR186" i="1"/>
  <c r="AI186" i="1"/>
  <c r="AQ186" i="1" s="1"/>
  <c r="AT185" i="1"/>
  <c r="AS185" i="1"/>
  <c r="AR185" i="1"/>
  <c r="AQ185" i="1"/>
  <c r="AI185" i="1"/>
  <c r="J185" i="1"/>
  <c r="AT184" i="1"/>
  <c r="AS184" i="1"/>
  <c r="AR184" i="1"/>
  <c r="AI184" i="1"/>
  <c r="AQ184" i="1" s="1"/>
  <c r="AS183" i="1"/>
  <c r="AR183" i="1"/>
  <c r="AA183" i="1"/>
  <c r="AD183" i="1" s="1"/>
  <c r="J183" i="1"/>
  <c r="F183" i="1"/>
  <c r="AT182" i="1"/>
  <c r="AS182" i="1"/>
  <c r="AR182" i="1"/>
  <c r="AM182" i="1"/>
  <c r="AQ182" i="1" s="1"/>
  <c r="AI182" i="1"/>
  <c r="AS181" i="1"/>
  <c r="AR181" i="1"/>
  <c r="AL181" i="1"/>
  <c r="AI181" i="1"/>
  <c r="J181" i="1"/>
  <c r="AT180" i="1"/>
  <c r="AS180" i="1"/>
  <c r="AR180" i="1"/>
  <c r="AI180" i="1"/>
  <c r="AS179" i="1"/>
  <c r="AR179" i="1"/>
  <c r="AI179" i="1"/>
  <c r="AH179" i="1"/>
  <c r="J179" i="1"/>
  <c r="F179" i="1"/>
  <c r="AS176" i="1"/>
  <c r="AR176" i="1"/>
  <c r="AA176" i="1"/>
  <c r="AD176" i="1" s="1"/>
  <c r="J176" i="1"/>
  <c r="F176" i="1"/>
  <c r="AS175" i="1"/>
  <c r="AR175" i="1"/>
  <c r="AQ175" i="1"/>
  <c r="AL175" i="1"/>
  <c r="AH175" i="1"/>
  <c r="T175" i="1"/>
  <c r="J175" i="1"/>
  <c r="AT174" i="1"/>
  <c r="AS174" i="1"/>
  <c r="AR174" i="1"/>
  <c r="AI174" i="1"/>
  <c r="T174" i="1"/>
  <c r="AT173" i="1"/>
  <c r="AS173" i="1"/>
  <c r="AR173" i="1"/>
  <c r="AI173" i="1"/>
  <c r="T173" i="1"/>
  <c r="AS172" i="1"/>
  <c r="AR172" i="1"/>
  <c r="AI172" i="1"/>
  <c r="AL172" i="1" s="1"/>
  <c r="AH172" i="1"/>
  <c r="J172" i="1"/>
  <c r="AT171" i="1"/>
  <c r="AS171" i="1"/>
  <c r="AR171" i="1"/>
  <c r="AI171" i="1"/>
  <c r="AM171" i="1" s="1"/>
  <c r="T171" i="1"/>
  <c r="AT170" i="1"/>
  <c r="AS170" i="1"/>
  <c r="AR170" i="1"/>
  <c r="AI170" i="1"/>
  <c r="T170" i="1"/>
  <c r="AT169" i="1"/>
  <c r="AS169" i="1"/>
  <c r="AR169" i="1"/>
  <c r="AI169" i="1"/>
  <c r="T169" i="1"/>
  <c r="AT168" i="1"/>
  <c r="AS168" i="1"/>
  <c r="AR168" i="1"/>
  <c r="AI168" i="1"/>
  <c r="AM168" i="1" s="1"/>
  <c r="AQ168" i="1" s="1"/>
  <c r="T168" i="1"/>
  <c r="AT167" i="1"/>
  <c r="AS167" i="1"/>
  <c r="AR167" i="1"/>
  <c r="AI167" i="1"/>
  <c r="T167" i="1"/>
  <c r="AS166" i="1"/>
  <c r="AR166" i="1"/>
  <c r="AA166" i="1"/>
  <c r="AD166" i="1" s="1"/>
  <c r="T166" i="1"/>
  <c r="T165" i="1"/>
  <c r="J165" i="1"/>
  <c r="AS164" i="1"/>
  <c r="AR164" i="1"/>
  <c r="AD164" i="1"/>
  <c r="AA164" i="1"/>
  <c r="T164" i="1"/>
  <c r="J164" i="1"/>
  <c r="AS163" i="1"/>
  <c r="AR163" i="1"/>
  <c r="AA163" i="1"/>
  <c r="AE163" i="1" s="1"/>
  <c r="J163" i="1"/>
  <c r="AS162" i="1"/>
  <c r="AR162" i="1"/>
  <c r="AA162" i="1"/>
  <c r="AE162" i="1" s="1"/>
  <c r="J162" i="1"/>
  <c r="AT161" i="1"/>
  <c r="AS161" i="1"/>
  <c r="AR161" i="1"/>
  <c r="AM161" i="1"/>
  <c r="AQ161" i="1" s="1"/>
  <c r="AS160" i="1"/>
  <c r="AR160" i="1"/>
  <c r="AA160" i="1"/>
  <c r="AD160" i="1" s="1"/>
  <c r="J160" i="1"/>
  <c r="F160" i="1"/>
  <c r="AT159" i="1"/>
  <c r="AS159" i="1"/>
  <c r="AR159" i="1"/>
  <c r="AM159" i="1"/>
  <c r="AQ159" i="1" s="1"/>
  <c r="AT158" i="1"/>
  <c r="AS158" i="1"/>
  <c r="AR158" i="1"/>
  <c r="AI158" i="1"/>
  <c r="AM158" i="1" s="1"/>
  <c r="T158" i="1"/>
  <c r="AT157" i="1"/>
  <c r="AS157" i="1"/>
  <c r="AR157" i="1"/>
  <c r="AM157" i="1"/>
  <c r="AQ157" i="1" s="1"/>
  <c r="T157" i="1"/>
  <c r="AS156" i="1"/>
  <c r="AR156" i="1"/>
  <c r="AA156" i="1"/>
  <c r="AD156" i="1" s="1"/>
  <c r="J156" i="1"/>
  <c r="F156" i="1"/>
  <c r="AT155" i="1"/>
  <c r="AS155" i="1"/>
  <c r="AR155" i="1"/>
  <c r="AM155" i="1"/>
  <c r="AQ155" i="1" s="1"/>
  <c r="AS154" i="1"/>
  <c r="AR154" i="1"/>
  <c r="AA154" i="1"/>
  <c r="AD154" i="1" s="1"/>
  <c r="J154" i="1"/>
  <c r="AT153" i="1"/>
  <c r="AS153" i="1"/>
  <c r="AR153" i="1"/>
  <c r="AI153" i="1"/>
  <c r="AT152" i="1"/>
  <c r="AS152" i="1"/>
  <c r="AR152" i="1"/>
  <c r="AI152" i="1"/>
  <c r="AM152" i="1" s="1"/>
  <c r="AQ152" i="1" s="1"/>
  <c r="AS151" i="1"/>
  <c r="AR151" i="1"/>
  <c r="AE151" i="1"/>
  <c r="AA151" i="1"/>
  <c r="AD151" i="1" s="1"/>
  <c r="J151" i="1"/>
  <c r="F151" i="1"/>
  <c r="AS150" i="1"/>
  <c r="AR150" i="1"/>
  <c r="AA150" i="1"/>
  <c r="J150" i="1"/>
  <c r="AS149" i="1"/>
  <c r="AR149" i="1"/>
  <c r="AA149" i="1"/>
  <c r="AE149" i="1" s="1"/>
  <c r="V149" i="1"/>
  <c r="J149" i="1"/>
  <c r="AS148" i="1"/>
  <c r="AR148" i="1"/>
  <c r="AA148" i="1"/>
  <c r="AE148" i="1" s="1"/>
  <c r="AI148" i="1" s="1"/>
  <c r="J148" i="1"/>
  <c r="F148" i="1"/>
  <c r="AS147" i="1"/>
  <c r="AR147" i="1"/>
  <c r="AD147" i="1"/>
  <c r="AA147" i="1"/>
  <c r="T147" i="1"/>
  <c r="J147" i="1"/>
  <c r="T146" i="1"/>
  <c r="T145" i="1"/>
  <c r="AS144" i="1"/>
  <c r="AR144" i="1"/>
  <c r="AD144" i="1"/>
  <c r="AA144" i="1"/>
  <c r="J144" i="1"/>
  <c r="F144" i="1"/>
  <c r="T143" i="1"/>
  <c r="T141" i="1"/>
  <c r="T140" i="1"/>
  <c r="AS138" i="1"/>
  <c r="AR138" i="1"/>
  <c r="AA138" i="1"/>
  <c r="AD138" i="1" s="1"/>
  <c r="T138" i="1"/>
  <c r="J138" i="1"/>
  <c r="T137" i="1"/>
  <c r="T136" i="1"/>
  <c r="AS135" i="1"/>
  <c r="AR135" i="1"/>
  <c r="AA135" i="1"/>
  <c r="AQ135" i="1" s="1"/>
  <c r="T135" i="1"/>
  <c r="J135" i="1"/>
  <c r="F135" i="1"/>
  <c r="AT134" i="1"/>
  <c r="AS134" i="1"/>
  <c r="AR134" i="1"/>
  <c r="AQ134" i="1"/>
  <c r="AS132" i="1"/>
  <c r="AR132" i="1"/>
  <c r="AA132" i="1"/>
  <c r="AE132" i="1" s="1"/>
  <c r="T132" i="1"/>
  <c r="J132" i="1"/>
  <c r="AT131" i="1"/>
  <c r="AS131" i="1"/>
  <c r="AR131" i="1"/>
  <c r="AI131" i="1"/>
  <c r="AS130" i="1"/>
  <c r="AR130" i="1"/>
  <c r="AA130" i="1"/>
  <c r="AE130" i="1" s="1"/>
  <c r="AI130" i="1" s="1"/>
  <c r="J130" i="1"/>
  <c r="F130" i="1"/>
  <c r="AS129" i="1"/>
  <c r="AR129" i="1"/>
  <c r="AA129" i="1"/>
  <c r="AD129" i="1" s="1"/>
  <c r="J129" i="1"/>
  <c r="AS128" i="1"/>
  <c r="AR128" i="1"/>
  <c r="AA128" i="1"/>
  <c r="AE128" i="1" s="1"/>
  <c r="AH128" i="1" s="1"/>
  <c r="J128" i="1"/>
  <c r="F128" i="1"/>
  <c r="AT127" i="1"/>
  <c r="AS127" i="1"/>
  <c r="AR127" i="1"/>
  <c r="AI127" i="1"/>
  <c r="AS126" i="1"/>
  <c r="AR126" i="1"/>
  <c r="AA126" i="1"/>
  <c r="AD126" i="1" s="1"/>
  <c r="T126" i="1"/>
  <c r="J126" i="1"/>
  <c r="AS125" i="1"/>
  <c r="AR125" i="1"/>
  <c r="AA125" i="1"/>
  <c r="J125" i="1"/>
  <c r="F125" i="1"/>
  <c r="AT124" i="1"/>
  <c r="AS124" i="1"/>
  <c r="AR124" i="1"/>
  <c r="AM124" i="1"/>
  <c r="AQ124" i="1" s="1"/>
  <c r="T124" i="1"/>
  <c r="AT123" i="1"/>
  <c r="AS123" i="1"/>
  <c r="AR123" i="1"/>
  <c r="AM123" i="1"/>
  <c r="AQ123" i="1" s="1"/>
  <c r="T123" i="1"/>
  <c r="AS122" i="1"/>
  <c r="AR122" i="1"/>
  <c r="AA122" i="1"/>
  <c r="AD122" i="1" s="1"/>
  <c r="V122" i="1"/>
  <c r="T122" i="1"/>
  <c r="J122" i="1"/>
  <c r="AT121" i="1"/>
  <c r="AS121" i="1"/>
  <c r="AR121" i="1"/>
  <c r="AM121" i="1"/>
  <c r="AQ121" i="1" s="1"/>
  <c r="AT120" i="1"/>
  <c r="AS120" i="1"/>
  <c r="AR120" i="1"/>
  <c r="AQ120" i="1"/>
  <c r="AM120" i="1"/>
  <c r="T120" i="1"/>
  <c r="AT119" i="1"/>
  <c r="AS119" i="1"/>
  <c r="AR119" i="1"/>
  <c r="AM119" i="1"/>
  <c r="AQ119" i="1" s="1"/>
  <c r="T119" i="1"/>
  <c r="AS118" i="1"/>
  <c r="AR118" i="1"/>
  <c r="AA118" i="1"/>
  <c r="AD118" i="1" s="1"/>
  <c r="V118" i="1"/>
  <c r="J118" i="1"/>
  <c r="F118" i="1"/>
  <c r="AS117" i="1"/>
  <c r="AR117" i="1"/>
  <c r="AA117" i="1"/>
  <c r="AD117" i="1" s="1"/>
  <c r="J117" i="1"/>
  <c r="AS116" i="1"/>
  <c r="AR116" i="1"/>
  <c r="AA116" i="1"/>
  <c r="AE116" i="1" s="1"/>
  <c r="AH116" i="1" s="1"/>
  <c r="J116" i="1"/>
  <c r="AT115" i="1"/>
  <c r="AS115" i="1"/>
  <c r="AR115" i="1"/>
  <c r="AQ115" i="1"/>
  <c r="AM115" i="1"/>
  <c r="AT114" i="1"/>
  <c r="AS114" i="1"/>
  <c r="AR114" i="1"/>
  <c r="AQ114" i="1"/>
  <c r="AM114" i="1"/>
  <c r="V114" i="1"/>
  <c r="AS113" i="1"/>
  <c r="AR113" i="1"/>
  <c r="AA113" i="1"/>
  <c r="AE113" i="1" s="1"/>
  <c r="AH113" i="1" s="1"/>
  <c r="V113" i="1"/>
  <c r="J113" i="1"/>
  <c r="F113" i="1"/>
  <c r="AS112" i="1"/>
  <c r="AR112" i="1"/>
  <c r="AA112" i="1"/>
  <c r="AD112" i="1" s="1"/>
  <c r="J112" i="1"/>
  <c r="V110" i="1"/>
  <c r="AS109" i="1"/>
  <c r="AR109" i="1"/>
  <c r="AA109" i="1"/>
  <c r="AE109" i="1" s="1"/>
  <c r="AI109" i="1" s="1"/>
  <c r="V109" i="1"/>
  <c r="J109" i="1"/>
  <c r="AS107" i="1"/>
  <c r="AR107" i="1"/>
  <c r="AA107" i="1"/>
  <c r="AE107" i="1" s="1"/>
  <c r="AI107" i="1" s="1"/>
  <c r="V107" i="1"/>
  <c r="J107" i="1"/>
  <c r="T105" i="1"/>
  <c r="V104" i="1"/>
  <c r="T103" i="1"/>
  <c r="T102" i="1"/>
  <c r="AS101" i="1"/>
  <c r="AR101" i="1"/>
  <c r="AA101" i="1"/>
  <c r="AE101" i="1" s="1"/>
  <c r="AI101" i="1" s="1"/>
  <c r="T101" i="1"/>
  <c r="J101" i="1"/>
  <c r="F101" i="1"/>
  <c r="AT100" i="1"/>
  <c r="AS100" i="1"/>
  <c r="AR100" i="1"/>
  <c r="AQ100" i="1"/>
  <c r="V100" i="1"/>
  <c r="AT99" i="1"/>
  <c r="AS99" i="1"/>
  <c r="AR99" i="1"/>
  <c r="AQ99" i="1"/>
  <c r="T99" i="1"/>
  <c r="AS98" i="1"/>
  <c r="AR98" i="1"/>
  <c r="AA98" i="1"/>
  <c r="AD98" i="1" s="1"/>
  <c r="T98" i="1"/>
  <c r="J98" i="1"/>
  <c r="F98" i="1"/>
  <c r="AT97" i="1"/>
  <c r="AS97" i="1"/>
  <c r="AR97" i="1"/>
  <c r="AQ97" i="1"/>
  <c r="T97" i="1"/>
  <c r="AT96" i="1"/>
  <c r="AS96" i="1"/>
  <c r="AR96" i="1"/>
  <c r="AQ96" i="1"/>
  <c r="T96" i="1"/>
  <c r="AT95" i="1"/>
  <c r="AS95" i="1"/>
  <c r="AR95" i="1"/>
  <c r="AQ95" i="1"/>
  <c r="T95" i="1"/>
  <c r="AS94" i="1"/>
  <c r="AR94" i="1"/>
  <c r="AA94" i="1"/>
  <c r="AD94" i="1" s="1"/>
  <c r="T94" i="1"/>
  <c r="J94" i="1"/>
  <c r="F94" i="1"/>
  <c r="AT93" i="1"/>
  <c r="AS93" i="1"/>
  <c r="AR93" i="1"/>
  <c r="AM93" i="1"/>
  <c r="AI93" i="1"/>
  <c r="T93" i="1"/>
  <c r="AT92" i="1"/>
  <c r="AS92" i="1"/>
  <c r="AR92" i="1"/>
  <c r="AQ92" i="1"/>
  <c r="AI92" i="1"/>
  <c r="AM92" i="1" s="1"/>
  <c r="T92" i="1"/>
  <c r="AT91" i="1"/>
  <c r="AS91" i="1"/>
  <c r="AR91" i="1"/>
  <c r="AI91" i="1"/>
  <c r="AM91" i="1" s="1"/>
  <c r="AQ91" i="1" s="1"/>
  <c r="U91" i="1"/>
  <c r="T91" i="1"/>
  <c r="AT90" i="1"/>
  <c r="AS90" i="1"/>
  <c r="AR90" i="1"/>
  <c r="AM90" i="1"/>
  <c r="AQ90" i="1" s="1"/>
  <c r="AI90" i="1"/>
  <c r="AT89" i="1"/>
  <c r="AS89" i="1"/>
  <c r="AR89" i="1"/>
  <c r="AI89" i="1"/>
  <c r="AM89" i="1" s="1"/>
  <c r="AQ89" i="1" s="1"/>
  <c r="T89" i="1"/>
  <c r="AS88" i="1"/>
  <c r="AR88" i="1"/>
  <c r="AE88" i="1"/>
  <c r="AH88" i="1" s="1"/>
  <c r="AD88" i="1"/>
  <c r="AA88" i="1"/>
  <c r="J88" i="1"/>
  <c r="F88" i="1"/>
  <c r="AS87" i="1"/>
  <c r="AR87" i="1"/>
  <c r="AM87" i="1"/>
  <c r="AP87" i="1" s="1"/>
  <c r="AL87" i="1"/>
  <c r="AI87" i="1"/>
  <c r="AE87" i="1"/>
  <c r="AH87" i="1" s="1"/>
  <c r="AA87" i="1"/>
  <c r="AD87" i="1" s="1"/>
  <c r="T87" i="1"/>
  <c r="J87" i="1"/>
  <c r="F87" i="1"/>
  <c r="AS86" i="1"/>
  <c r="AR86" i="1"/>
  <c r="AD86" i="1"/>
  <c r="AA86" i="1"/>
  <c r="V86" i="1"/>
  <c r="J86" i="1"/>
  <c r="F86" i="1"/>
  <c r="AS84" i="1"/>
  <c r="AR84" i="1"/>
  <c r="AA84" i="1"/>
  <c r="V84" i="1"/>
  <c r="J84" i="1"/>
  <c r="F84" i="1"/>
  <c r="AS83" i="1"/>
  <c r="AR83" i="1"/>
  <c r="AA83" i="1"/>
  <c r="AD83" i="1" s="1"/>
  <c r="J83" i="1"/>
  <c r="AT82" i="1"/>
  <c r="AS82" i="1"/>
  <c r="AR82" i="1"/>
  <c r="AM82" i="1"/>
  <c r="AQ82" i="1" s="1"/>
  <c r="AI82" i="1"/>
  <c r="AT81" i="1"/>
  <c r="AS81" i="1"/>
  <c r="AR81" i="1"/>
  <c r="AI81" i="1"/>
  <c r="AT80" i="1"/>
  <c r="AS80" i="1"/>
  <c r="AR80" i="1"/>
  <c r="AI80" i="1"/>
  <c r="AM80" i="1" s="1"/>
  <c r="AS79" i="1"/>
  <c r="AR79" i="1"/>
  <c r="AH79" i="1"/>
  <c r="AE79" i="1"/>
  <c r="AI79" i="1" s="1"/>
  <c r="AL79" i="1" s="1"/>
  <c r="AA79" i="1"/>
  <c r="AD79" i="1" s="1"/>
  <c r="J79" i="1"/>
  <c r="F79" i="1"/>
  <c r="AS78" i="1"/>
  <c r="AR78" i="1"/>
  <c r="AM78" i="1"/>
  <c r="AI78" i="1"/>
  <c r="AH78" i="1"/>
  <c r="V78" i="1"/>
  <c r="AS77" i="1"/>
  <c r="AR77" i="1"/>
  <c r="AL77" i="1"/>
  <c r="AI77" i="1"/>
  <c r="AM77" i="1" s="1"/>
  <c r="AH77" i="1"/>
  <c r="V77" i="1"/>
  <c r="J77" i="1"/>
  <c r="AS76" i="1"/>
  <c r="AR76" i="1"/>
  <c r="AL76" i="1"/>
  <c r="AI76" i="1"/>
  <c r="AM76" i="1" s="1"/>
  <c r="AP76" i="1" s="1"/>
  <c r="AH76" i="1"/>
  <c r="AA76" i="1"/>
  <c r="AD76" i="1" s="1"/>
  <c r="V76" i="1"/>
  <c r="J76" i="1"/>
  <c r="AS75" i="1"/>
  <c r="AR75" i="1"/>
  <c r="AA75" i="1"/>
  <c r="AD75" i="1" s="1"/>
  <c r="V75" i="1"/>
  <c r="J75" i="1"/>
  <c r="F75" i="1"/>
  <c r="AI74" i="1"/>
  <c r="AI73" i="1"/>
  <c r="AS72" i="1"/>
  <c r="AR72" i="1"/>
  <c r="AA72" i="1"/>
  <c r="AE72" i="1" s="1"/>
  <c r="J72" i="1"/>
  <c r="F72" i="1"/>
  <c r="T70" i="1"/>
  <c r="V69" i="1"/>
  <c r="T68" i="1"/>
  <c r="AS67" i="1"/>
  <c r="AR67" i="1"/>
  <c r="AA67" i="1"/>
  <c r="AD67" i="1" s="1"/>
  <c r="V67" i="1"/>
  <c r="J67" i="1"/>
  <c r="F67" i="1"/>
  <c r="AT66" i="1"/>
  <c r="AS66" i="1"/>
  <c r="AR66" i="1"/>
  <c r="AQ66" i="1"/>
  <c r="AT65" i="1"/>
  <c r="AS65" i="1"/>
  <c r="AR65" i="1"/>
  <c r="AQ65" i="1"/>
  <c r="V65" i="1"/>
  <c r="AT64" i="1"/>
  <c r="AS64" i="1"/>
  <c r="AR64" i="1"/>
  <c r="AQ64" i="1"/>
  <c r="V64" i="1"/>
  <c r="AT63" i="1"/>
  <c r="AS63" i="1"/>
  <c r="AR63" i="1"/>
  <c r="AQ63" i="1"/>
  <c r="V63" i="1"/>
  <c r="AT62" i="1"/>
  <c r="AS62" i="1"/>
  <c r="AR62" i="1"/>
  <c r="AQ62" i="1"/>
  <c r="V62" i="1"/>
  <c r="AT61" i="1"/>
  <c r="AS61" i="1"/>
  <c r="AR61" i="1"/>
  <c r="AQ61" i="1"/>
  <c r="V61" i="1"/>
  <c r="AS60" i="1"/>
  <c r="AR60" i="1"/>
  <c r="AM60" i="1"/>
  <c r="AP60" i="1" s="1"/>
  <c r="AI60" i="1"/>
  <c r="AL60" i="1" s="1"/>
  <c r="AE60" i="1"/>
  <c r="AH60" i="1" s="1"/>
  <c r="AA60" i="1"/>
  <c r="V60" i="1"/>
  <c r="J60" i="1"/>
  <c r="F60" i="1"/>
  <c r="AT59" i="1"/>
  <c r="AS59" i="1"/>
  <c r="AR59" i="1"/>
  <c r="AQ59" i="1"/>
  <c r="AT58" i="1"/>
  <c r="AS58" i="1"/>
  <c r="AR58" i="1"/>
  <c r="AQ58" i="1"/>
  <c r="V58" i="1"/>
  <c r="AT57" i="1"/>
  <c r="AS57" i="1"/>
  <c r="AR57" i="1"/>
  <c r="AQ57" i="1"/>
  <c r="V57" i="1"/>
  <c r="AS56" i="1"/>
  <c r="AR56" i="1"/>
  <c r="AM56" i="1"/>
  <c r="AP56" i="1" s="1"/>
  <c r="AI56" i="1"/>
  <c r="AL56" i="1" s="1"/>
  <c r="AE56" i="1"/>
  <c r="AA56" i="1"/>
  <c r="AD56" i="1" s="1"/>
  <c r="V56" i="1"/>
  <c r="J56" i="1"/>
  <c r="F56" i="1"/>
  <c r="AT55" i="1"/>
  <c r="AS55" i="1"/>
  <c r="AR55" i="1"/>
  <c r="AM55" i="1"/>
  <c r="AI55" i="1"/>
  <c r="T55" i="1"/>
  <c r="AS54" i="1"/>
  <c r="AR54" i="1"/>
  <c r="AM54" i="1"/>
  <c r="AP54" i="1" s="1"/>
  <c r="AI54" i="1"/>
  <c r="AL54" i="1" s="1"/>
  <c r="AE54" i="1"/>
  <c r="AH54" i="1" s="1"/>
  <c r="AA54" i="1"/>
  <c r="T54" i="1"/>
  <c r="J54" i="1"/>
  <c r="AS53" i="1"/>
  <c r="AR53" i="1"/>
  <c r="AM53" i="1"/>
  <c r="AP53" i="1" s="1"/>
  <c r="AI53" i="1"/>
  <c r="AL53" i="1" s="1"/>
  <c r="AE53" i="1"/>
  <c r="AH53" i="1" s="1"/>
  <c r="AA53" i="1"/>
  <c r="AD53" i="1" s="1"/>
  <c r="J53" i="1"/>
  <c r="AS52" i="1"/>
  <c r="AR52" i="1"/>
  <c r="AM52" i="1"/>
  <c r="AP52" i="1" s="1"/>
  <c r="AI52" i="1"/>
  <c r="AL52" i="1" s="1"/>
  <c r="AE52" i="1"/>
  <c r="AH52" i="1" s="1"/>
  <c r="AD52" i="1"/>
  <c r="AA52" i="1"/>
  <c r="V52" i="1"/>
  <c r="J52" i="1"/>
  <c r="AT50" i="1"/>
  <c r="AS50" i="1"/>
  <c r="AR50" i="1"/>
  <c r="AM50" i="1"/>
  <c r="AI50" i="1"/>
  <c r="AT49" i="1"/>
  <c r="AS49" i="1"/>
  <c r="AR49" i="1"/>
  <c r="AM49" i="1"/>
  <c r="AQ49" i="1" s="1"/>
  <c r="AI49" i="1"/>
  <c r="V49" i="1"/>
  <c r="AS48" i="1"/>
  <c r="AR48" i="1"/>
  <c r="AM48" i="1"/>
  <c r="AP48" i="1" s="1"/>
  <c r="AI48" i="1"/>
  <c r="AL48" i="1" s="1"/>
  <c r="AE48" i="1"/>
  <c r="AH48" i="1" s="1"/>
  <c r="AA48" i="1"/>
  <c r="AD48" i="1" s="1"/>
  <c r="J48" i="1"/>
  <c r="F48" i="1"/>
  <c r="AS47" i="1"/>
  <c r="AR47" i="1"/>
  <c r="AA47" i="1"/>
  <c r="AD47" i="1" s="1"/>
  <c r="T47" i="1"/>
  <c r="J47" i="1"/>
  <c r="AS46" i="1"/>
  <c r="AR46" i="1"/>
  <c r="AA46" i="1"/>
  <c r="V46" i="1"/>
  <c r="J46" i="1"/>
  <c r="F46" i="1"/>
  <c r="AT45" i="1"/>
  <c r="AS45" i="1"/>
  <c r="AR45" i="1"/>
  <c r="AI45" i="1"/>
  <c r="AM45" i="1" s="1"/>
  <c r="J45" i="1"/>
  <c r="AS44" i="1"/>
  <c r="AR44" i="1"/>
  <c r="AA44" i="1"/>
  <c r="AE44" i="1" s="1"/>
  <c r="AI44" i="1" s="1"/>
  <c r="J44" i="1"/>
  <c r="F44" i="1"/>
  <c r="AS43" i="1"/>
  <c r="AR43" i="1"/>
  <c r="AM43" i="1"/>
  <c r="AP43" i="1" s="1"/>
  <c r="AI43" i="1"/>
  <c r="AL43" i="1" s="1"/>
  <c r="AE43" i="1"/>
  <c r="AH43" i="1" s="1"/>
  <c r="AD43" i="1"/>
  <c r="AA43" i="1"/>
  <c r="J43" i="1"/>
  <c r="F43" i="1"/>
  <c r="AS42" i="1"/>
  <c r="AR42" i="1"/>
  <c r="AE42" i="1"/>
  <c r="AH42" i="1" s="1"/>
  <c r="AD42" i="1"/>
  <c r="T42" i="1"/>
  <c r="J42" i="1"/>
  <c r="AS41" i="1"/>
  <c r="AR41" i="1"/>
  <c r="AD41" i="1"/>
  <c r="AA41" i="1"/>
  <c r="AE41" i="1" s="1"/>
  <c r="T41" i="1"/>
  <c r="J41" i="1"/>
  <c r="AH40" i="1"/>
  <c r="AE40" i="1"/>
  <c r="AI40" i="1" s="1"/>
  <c r="AD40" i="1"/>
  <c r="AB40" i="1"/>
  <c r="AB187" i="1" s="1"/>
  <c r="J40" i="1"/>
  <c r="AT39" i="1"/>
  <c r="AS39" i="1"/>
  <c r="AR39" i="1"/>
  <c r="AI39" i="1"/>
  <c r="T38" i="1"/>
  <c r="AT37" i="1"/>
  <c r="AS37" i="1"/>
  <c r="AR37" i="1"/>
  <c r="AM37" i="1"/>
  <c r="AI37" i="1"/>
  <c r="AT36" i="1"/>
  <c r="AS36" i="1"/>
  <c r="AR36" i="1"/>
  <c r="AI36" i="1"/>
  <c r="T36" i="1"/>
  <c r="AS35" i="1"/>
  <c r="AR35" i="1"/>
  <c r="AA35" i="1"/>
  <c r="AD35" i="1" s="1"/>
  <c r="J35" i="1"/>
  <c r="AT34" i="1"/>
  <c r="AS34" i="1"/>
  <c r="AR34" i="1"/>
  <c r="AI34" i="1"/>
  <c r="V34" i="1"/>
  <c r="AS33" i="1"/>
  <c r="AR33" i="1"/>
  <c r="AA33" i="1"/>
  <c r="AE33" i="1" s="1"/>
  <c r="J33" i="1"/>
  <c r="AS32" i="1"/>
  <c r="AR32" i="1"/>
  <c r="AA32" i="1"/>
  <c r="AE32" i="1" s="1"/>
  <c r="T32" i="1"/>
  <c r="J32" i="1"/>
  <c r="AT31" i="1"/>
  <c r="AS31" i="1"/>
  <c r="AR31" i="1"/>
  <c r="AM31" i="1"/>
  <c r="AQ31" i="1" s="1"/>
  <c r="AI31" i="1"/>
  <c r="V31" i="1"/>
  <c r="AS30" i="1"/>
  <c r="AR30" i="1"/>
  <c r="AA30" i="1"/>
  <c r="AE30" i="1" s="1"/>
  <c r="J30" i="1"/>
  <c r="AS29" i="1"/>
  <c r="AR29" i="1"/>
  <c r="AA29" i="1"/>
  <c r="AE29" i="1" s="1"/>
  <c r="AI29" i="1" s="1"/>
  <c r="V29" i="1"/>
  <c r="J29" i="1"/>
  <c r="AS28" i="1"/>
  <c r="AR28" i="1"/>
  <c r="AA28" i="1"/>
  <c r="AE28" i="1" s="1"/>
  <c r="AI28" i="1" s="1"/>
  <c r="V28" i="1"/>
  <c r="J28" i="1"/>
  <c r="F28" i="1"/>
  <c r="AS27" i="1"/>
  <c r="AR27" i="1"/>
  <c r="AM27" i="1"/>
  <c r="AP27" i="1" s="1"/>
  <c r="AI27" i="1"/>
  <c r="AL27" i="1" s="1"/>
  <c r="AE27" i="1"/>
  <c r="AH27" i="1" s="1"/>
  <c r="AA27" i="1"/>
  <c r="AD27" i="1" s="1"/>
  <c r="V27" i="1"/>
  <c r="J27" i="1"/>
  <c r="F27" i="1"/>
  <c r="AS26" i="1"/>
  <c r="AR26" i="1"/>
  <c r="AA26" i="1"/>
  <c r="AD26" i="1" s="1"/>
  <c r="J26" i="1"/>
  <c r="AS25" i="1"/>
  <c r="AR25" i="1"/>
  <c r="AA25" i="1"/>
  <c r="AD25" i="1" s="1"/>
  <c r="V25" i="1"/>
  <c r="T25" i="1"/>
  <c r="J25" i="1"/>
  <c r="AS24" i="1"/>
  <c r="AR24" i="1"/>
  <c r="AH24" i="1"/>
  <c r="AE24" i="1"/>
  <c r="AI24" i="1" s="1"/>
  <c r="AD24" i="1"/>
  <c r="T24" i="1"/>
  <c r="J24" i="1"/>
  <c r="AS23" i="1"/>
  <c r="AR23" i="1"/>
  <c r="AE23" i="1"/>
  <c r="AD23" i="1"/>
  <c r="V23" i="1"/>
  <c r="J23" i="1"/>
  <c r="AS22" i="1"/>
  <c r="AR22" i="1"/>
  <c r="AH22" i="1"/>
  <c r="AE22" i="1"/>
  <c r="AI22" i="1" s="1"/>
  <c r="AD22" i="1"/>
  <c r="J22" i="1"/>
  <c r="AT21" i="1"/>
  <c r="AS21" i="1"/>
  <c r="AR21" i="1"/>
  <c r="AM21" i="1"/>
  <c r="AI21" i="1"/>
  <c r="AQ21" i="1" s="1"/>
  <c r="V21" i="1"/>
  <c r="T20" i="1"/>
  <c r="AT19" i="1"/>
  <c r="AS19" i="1"/>
  <c r="AR19" i="1"/>
  <c r="AM19" i="1"/>
  <c r="AI19" i="1"/>
  <c r="AQ19" i="1" s="1"/>
  <c r="AN18" i="1"/>
  <c r="AN187" i="1" s="1"/>
  <c r="AJ18" i="1"/>
  <c r="AJ187" i="1" s="1"/>
  <c r="AF18" i="1"/>
  <c r="AF187" i="1" s="1"/>
  <c r="AD18" i="1"/>
  <c r="AC18" i="1"/>
  <c r="AC187" i="1" s="1"/>
  <c r="AA18" i="1"/>
  <c r="AE18" i="1" s="1"/>
  <c r="AH18" i="1" s="1"/>
  <c r="V18" i="1"/>
  <c r="J18" i="1"/>
  <c r="F18" i="1"/>
  <c r="AS17" i="1"/>
  <c r="AR17" i="1"/>
  <c r="AA17" i="1"/>
  <c r="J17" i="1"/>
  <c r="AS15" i="1"/>
  <c r="AR15" i="1"/>
  <c r="AA15" i="1"/>
  <c r="AD15" i="1" s="1"/>
  <c r="J15" i="1"/>
  <c r="AT14" i="1"/>
  <c r="AS14" i="1"/>
  <c r="AR14" i="1"/>
  <c r="AI14" i="1"/>
  <c r="T14" i="1"/>
  <c r="AT13" i="1"/>
  <c r="AS13" i="1"/>
  <c r="AR13" i="1"/>
  <c r="AI13" i="1"/>
  <c r="AM13" i="1" s="1"/>
  <c r="V13" i="1"/>
  <c r="AT12" i="1"/>
  <c r="AS12" i="1"/>
  <c r="AR12" i="1"/>
  <c r="AI12" i="1"/>
  <c r="AM12" i="1" s="1"/>
  <c r="AQ12" i="1" s="1"/>
  <c r="V12" i="1"/>
  <c r="AT11" i="1"/>
  <c r="AS11" i="1"/>
  <c r="AR11" i="1"/>
  <c r="AM11" i="1"/>
  <c r="AQ11" i="1" s="1"/>
  <c r="AI11" i="1"/>
  <c r="AS10" i="1"/>
  <c r="AR10" i="1"/>
  <c r="AA10" i="1"/>
  <c r="AE10" i="1" s="1"/>
  <c r="T10" i="1"/>
  <c r="J10" i="1"/>
  <c r="F10" i="1"/>
  <c r="AS9" i="1"/>
  <c r="AO9" i="1"/>
  <c r="AK9" i="1"/>
  <c r="AK188" i="1" s="1"/>
  <c r="AG9" i="1"/>
  <c r="AC9" i="1"/>
  <c r="AN8" i="1"/>
  <c r="AM8" i="1"/>
  <c r="AJ8" i="1"/>
  <c r="AI8" i="1"/>
  <c r="AF8" i="1"/>
  <c r="AE8" i="1"/>
  <c r="AH8" i="1" s="1"/>
  <c r="AB8" i="1"/>
  <c r="AA8" i="1"/>
  <c r="AN7" i="1"/>
  <c r="AM7" i="1"/>
  <c r="AJ7" i="1"/>
  <c r="AI7" i="1"/>
  <c r="AF7" i="1"/>
  <c r="AE7" i="1"/>
  <c r="AH7" i="1" s="1"/>
  <c r="AB7" i="1"/>
  <c r="AA7" i="1"/>
  <c r="AM6" i="1"/>
  <c r="AP6" i="1" s="1"/>
  <c r="AI6" i="1"/>
  <c r="AL6" i="1" s="1"/>
  <c r="AE6" i="1"/>
  <c r="AH6" i="1" s="1"/>
  <c r="AA6" i="1"/>
  <c r="AN5" i="1"/>
  <c r="AM5" i="1"/>
  <c r="AP5" i="1" s="1"/>
  <c r="AJ5" i="1"/>
  <c r="AI5" i="1"/>
  <c r="AL5" i="1" s="1"/>
  <c r="AF5" i="1"/>
  <c r="AF9" i="1" s="1"/>
  <c r="AE5" i="1"/>
  <c r="AB5" i="1"/>
  <c r="AA5" i="1"/>
  <c r="AE35" i="1" l="1"/>
  <c r="AI35" i="1" s="1"/>
  <c r="AL35" i="1" s="1"/>
  <c r="AE83" i="1"/>
  <c r="AH83" i="1" s="1"/>
  <c r="AD107" i="1"/>
  <c r="AD29" i="1"/>
  <c r="AD72" i="1"/>
  <c r="AQ6" i="1"/>
  <c r="AQ5" i="1"/>
  <c r="AR8" i="1"/>
  <c r="AE112" i="1"/>
  <c r="AI112" i="1" s="1"/>
  <c r="AM112" i="1" s="1"/>
  <c r="AP112" i="1" s="1"/>
  <c r="AP7" i="1"/>
  <c r="AD101" i="1"/>
  <c r="AR191" i="1"/>
  <c r="AE9" i="1"/>
  <c r="AD149" i="1"/>
  <c r="AE156" i="1"/>
  <c r="AI156" i="1" s="1"/>
  <c r="AL156" i="1" s="1"/>
  <c r="AQ54" i="1"/>
  <c r="AE94" i="1"/>
  <c r="AH94" i="1" s="1"/>
  <c r="AH130" i="1"/>
  <c r="AE183" i="1"/>
  <c r="AI183" i="1" s="1"/>
  <c r="AM183" i="1" s="1"/>
  <c r="AP183" i="1" s="1"/>
  <c r="AQ56" i="1"/>
  <c r="AP8" i="1"/>
  <c r="AP9" i="1" s="1"/>
  <c r="AD28" i="1"/>
  <c r="AH56" i="1"/>
  <c r="AT56" i="1" s="1"/>
  <c r="AD132" i="1"/>
  <c r="AD7" i="1"/>
  <c r="AD8" i="1"/>
  <c r="AM191" i="1"/>
  <c r="AP191" i="1" s="1"/>
  <c r="AE98" i="1"/>
  <c r="AH98" i="1" s="1"/>
  <c r="AP77" i="1"/>
  <c r="AQ77" i="1"/>
  <c r="AI41" i="1"/>
  <c r="AL41" i="1" s="1"/>
  <c r="AH41" i="1"/>
  <c r="AI72" i="1"/>
  <c r="AL72" i="1" s="1"/>
  <c r="AH72" i="1"/>
  <c r="AI32" i="1"/>
  <c r="AM32" i="1" s="1"/>
  <c r="AP32" i="1" s="1"/>
  <c r="AH32" i="1"/>
  <c r="AI149" i="1"/>
  <c r="AH149" i="1"/>
  <c r="AM22" i="1"/>
  <c r="AP22" i="1" s="1"/>
  <c r="AT22" i="1" s="1"/>
  <c r="AL22" i="1"/>
  <c r="AM29" i="1"/>
  <c r="AP29" i="1" s="1"/>
  <c r="AL29" i="1"/>
  <c r="AH162" i="1"/>
  <c r="AI162" i="1"/>
  <c r="AQ36" i="1"/>
  <c r="AQ81" i="1"/>
  <c r="AN9" i="1"/>
  <c r="AN188" i="1" s="1"/>
  <c r="AN192" i="1" s="1"/>
  <c r="AD5" i="1"/>
  <c r="AH28" i="1"/>
  <c r="AH29" i="1"/>
  <c r="AT29" i="1" s="1"/>
  <c r="AM36" i="1"/>
  <c r="AI42" i="1"/>
  <c r="AM42" i="1" s="1"/>
  <c r="AD44" i="1"/>
  <c r="AM81" i="1"/>
  <c r="AD109" i="1"/>
  <c r="AH112" i="1"/>
  <c r="AE122" i="1"/>
  <c r="AI128" i="1"/>
  <c r="AL128" i="1" s="1"/>
  <c r="AM131" i="1"/>
  <c r="AQ131" i="1" s="1"/>
  <c r="AE166" i="1"/>
  <c r="AQ181" i="1"/>
  <c r="AD32" i="1"/>
  <c r="AE47" i="1"/>
  <c r="AI47" i="1" s="1"/>
  <c r="AD54" i="1"/>
  <c r="AT54" i="1" s="1"/>
  <c r="AE118" i="1"/>
  <c r="AI118" i="1" s="1"/>
  <c r="AD135" i="1"/>
  <c r="AT135" i="1" s="1"/>
  <c r="AD148" i="1"/>
  <c r="AE160" i="1"/>
  <c r="AT175" i="1"/>
  <c r="AM181" i="1"/>
  <c r="AP181" i="1" s="1"/>
  <c r="AT181" i="1" s="1"/>
  <c r="AH5" i="1"/>
  <c r="AR7" i="1"/>
  <c r="AQ8" i="1"/>
  <c r="AI88" i="1"/>
  <c r="AM88" i="1" s="1"/>
  <c r="AP88" i="1" s="1"/>
  <c r="AD130" i="1"/>
  <c r="AE138" i="1"/>
  <c r="AH138" i="1" s="1"/>
  <c r="AH148" i="1"/>
  <c r="AQ34" i="1"/>
  <c r="AQ60" i="1"/>
  <c r="AM174" i="1"/>
  <c r="AQ174" i="1" s="1"/>
  <c r="AR5" i="1"/>
  <c r="AD10" i="1"/>
  <c r="AD17" i="1"/>
  <c r="AR18" i="1"/>
  <c r="AE25" i="1"/>
  <c r="AM34" i="1"/>
  <c r="AQ37" i="1"/>
  <c r="AD60" i="1"/>
  <c r="AT60" i="1" s="1"/>
  <c r="AE67" i="1"/>
  <c r="AE75" i="1"/>
  <c r="AT77" i="1"/>
  <c r="AI83" i="1"/>
  <c r="AE86" i="1"/>
  <c r="AD162" i="1"/>
  <c r="AM167" i="1"/>
  <c r="AQ167" i="1" s="1"/>
  <c r="AH109" i="1"/>
  <c r="AQ7" i="1"/>
  <c r="AQ13" i="1"/>
  <c r="AL8" i="1"/>
  <c r="AR187" i="1"/>
  <c r="AE17" i="1"/>
  <c r="AC188" i="1"/>
  <c r="AT43" i="1"/>
  <c r="AQ78" i="1"/>
  <c r="AE126" i="1"/>
  <c r="AI126" i="1" s="1"/>
  <c r="AL24" i="1"/>
  <c r="AM24" i="1"/>
  <c r="AP24" i="1" s="1"/>
  <c r="AT24" i="1" s="1"/>
  <c r="AM28" i="1"/>
  <c r="AP28" i="1" s="1"/>
  <c r="AL28" i="1"/>
  <c r="AM44" i="1"/>
  <c r="AP44" i="1" s="1"/>
  <c r="AL44" i="1"/>
  <c r="AI33" i="1"/>
  <c r="AH33" i="1"/>
  <c r="AP42" i="1"/>
  <c r="AT6" i="1"/>
  <c r="AM40" i="1"/>
  <c r="AP40" i="1" s="1"/>
  <c r="AL40" i="1"/>
  <c r="AH9" i="1"/>
  <c r="AT27" i="1"/>
  <c r="AI10" i="1"/>
  <c r="AH10" i="1"/>
  <c r="AI30" i="1"/>
  <c r="AH30" i="1"/>
  <c r="AD6" i="1"/>
  <c r="AB9" i="1"/>
  <c r="AJ9" i="1"/>
  <c r="AJ188" i="1" s="1"/>
  <c r="AJ192" i="1" s="1"/>
  <c r="AM14" i="1"/>
  <c r="AQ14" i="1" s="1"/>
  <c r="AE15" i="1"/>
  <c r="AI18" i="1"/>
  <c r="AS18" i="1"/>
  <c r="AS187" i="1" s="1"/>
  <c r="AH23" i="1"/>
  <c r="AE26" i="1"/>
  <c r="AD30" i="1"/>
  <c r="AM39" i="1"/>
  <c r="AQ39" i="1" s="1"/>
  <c r="AH44" i="1"/>
  <c r="AQ45" i="1"/>
  <c r="AE46" i="1"/>
  <c r="AD46" i="1"/>
  <c r="AQ76" i="1"/>
  <c r="AE84" i="1"/>
  <c r="AD84" i="1"/>
  <c r="AH101" i="1"/>
  <c r="AT101" i="1" s="1"/>
  <c r="AM128" i="1"/>
  <c r="AP128" i="1" s="1"/>
  <c r="AI132" i="1"/>
  <c r="AH132" i="1"/>
  <c r="AM148" i="1"/>
  <c r="AP148" i="1" s="1"/>
  <c r="AL148" i="1"/>
  <c r="AC192" i="1"/>
  <c r="AM180" i="1"/>
  <c r="AQ180" i="1"/>
  <c r="AL7" i="1"/>
  <c r="AL9" i="1" s="1"/>
  <c r="AI23" i="1"/>
  <c r="AQ52" i="1"/>
  <c r="AQ87" i="1"/>
  <c r="AL88" i="1"/>
  <c r="AE150" i="1"/>
  <c r="AD150" i="1"/>
  <c r="AI151" i="1"/>
  <c r="AH151" i="1"/>
  <c r="AI163" i="1"/>
  <c r="AH163" i="1"/>
  <c r="AI166" i="1"/>
  <c r="AH166" i="1"/>
  <c r="AM173" i="1"/>
  <c r="AQ173" i="1" s="1"/>
  <c r="AA9" i="1"/>
  <c r="AM170" i="1"/>
  <c r="AQ170" i="1" s="1"/>
  <c r="AG188" i="1"/>
  <c r="AG192" i="1" s="1"/>
  <c r="AD33" i="1"/>
  <c r="AQ43" i="1"/>
  <c r="AQ50" i="1"/>
  <c r="AT52" i="1"/>
  <c r="AM72" i="1"/>
  <c r="AP72" i="1" s="1"/>
  <c r="AM79" i="1"/>
  <c r="AP79" i="1" s="1"/>
  <c r="AT79" i="1" s="1"/>
  <c r="AM109" i="1"/>
  <c r="AP109" i="1" s="1"/>
  <c r="AL109" i="1"/>
  <c r="AQ158" i="1"/>
  <c r="AO188" i="1"/>
  <c r="AO192" i="1" s="1"/>
  <c r="AI9" i="1"/>
  <c r="AM9" i="1"/>
  <c r="AQ48" i="1"/>
  <c r="AQ53" i="1"/>
  <c r="AT76" i="1"/>
  <c r="AT87" i="1"/>
  <c r="AI122" i="1"/>
  <c r="AH122" i="1"/>
  <c r="AM130" i="1"/>
  <c r="AP130" i="1" s="1"/>
  <c r="AL130" i="1"/>
  <c r="AM153" i="1"/>
  <c r="AQ153" i="1" s="1"/>
  <c r="AL183" i="1"/>
  <c r="AL191" i="1"/>
  <c r="AT48" i="1"/>
  <c r="AT53" i="1"/>
  <c r="AQ93" i="1"/>
  <c r="AM107" i="1"/>
  <c r="AP107" i="1" s="1"/>
  <c r="AL107" i="1"/>
  <c r="AE125" i="1"/>
  <c r="AD125" i="1"/>
  <c r="AQ171" i="1"/>
  <c r="AL179" i="1"/>
  <c r="AM179" i="1"/>
  <c r="AP179" i="1" s="1"/>
  <c r="AQ27" i="1"/>
  <c r="AI113" i="1"/>
  <c r="AM162" i="1"/>
  <c r="AP162" i="1" s="1"/>
  <c r="AL162" i="1"/>
  <c r="AK192" i="1"/>
  <c r="AA187" i="1"/>
  <c r="AF188" i="1"/>
  <c r="AF192" i="1" s="1"/>
  <c r="AB188" i="1"/>
  <c r="AB192" i="1" s="1"/>
  <c r="AQ55" i="1"/>
  <c r="AQ80" i="1"/>
  <c r="AI98" i="1"/>
  <c r="AM101" i="1"/>
  <c r="AP101" i="1" s="1"/>
  <c r="AL101" i="1"/>
  <c r="AI116" i="1"/>
  <c r="AS191" i="1"/>
  <c r="AE117" i="1"/>
  <c r="AE129" i="1"/>
  <c r="AE144" i="1"/>
  <c r="AE147" i="1"/>
  <c r="AE154" i="1"/>
  <c r="AE164" i="1"/>
  <c r="AM172" i="1"/>
  <c r="AP172" i="1" s="1"/>
  <c r="AT172" i="1" s="1"/>
  <c r="AE176" i="1"/>
  <c r="AL78" i="1"/>
  <c r="AT78" i="1" s="1"/>
  <c r="AH107" i="1"/>
  <c r="AD163" i="1"/>
  <c r="AM169" i="1"/>
  <c r="AQ169" i="1" s="1"/>
  <c r="AD113" i="1"/>
  <c r="AD116" i="1"/>
  <c r="AM127" i="1"/>
  <c r="AQ127" i="1" s="1"/>
  <c r="AD128" i="1"/>
  <c r="AA191" i="1"/>
  <c r="AQ35" i="1" l="1"/>
  <c r="AH47" i="1"/>
  <c r="AH156" i="1"/>
  <c r="AI94" i="1"/>
  <c r="AH35" i="1"/>
  <c r="AT35" i="1" s="1"/>
  <c r="AM35" i="1"/>
  <c r="AP35" i="1" s="1"/>
  <c r="AT5" i="1"/>
  <c r="AE187" i="1"/>
  <c r="AE188" i="1" s="1"/>
  <c r="AI138" i="1"/>
  <c r="AM138" i="1" s="1"/>
  <c r="AQ112" i="1"/>
  <c r="AM156" i="1"/>
  <c r="AP156" i="1" s="1"/>
  <c r="AL112" i="1"/>
  <c r="AT112" i="1" s="1"/>
  <c r="AT8" i="1"/>
  <c r="AT148" i="1"/>
  <c r="AQ101" i="1"/>
  <c r="AT130" i="1"/>
  <c r="AT88" i="1"/>
  <c r="AH118" i="1"/>
  <c r="AL32" i="1"/>
  <c r="AT32" i="1" s="1"/>
  <c r="AH183" i="1"/>
  <c r="AQ130" i="1"/>
  <c r="AQ107" i="1"/>
  <c r="AQ109" i="1"/>
  <c r="AT162" i="1"/>
  <c r="AT179" i="1"/>
  <c r="AT183" i="1"/>
  <c r="AT72" i="1"/>
  <c r="AQ42" i="1"/>
  <c r="AT7" i="1"/>
  <c r="AT9" i="1" s="1"/>
  <c r="AH67" i="1"/>
  <c r="AI67" i="1"/>
  <c r="AT128" i="1"/>
  <c r="AD9" i="1"/>
  <c r="AT40" i="1"/>
  <c r="AM41" i="1"/>
  <c r="AP41" i="1" s="1"/>
  <c r="AT41" i="1" s="1"/>
  <c r="AR9" i="1"/>
  <c r="AR188" i="1" s="1"/>
  <c r="AR192" i="1" s="1"/>
  <c r="AQ128" i="1"/>
  <c r="AH126" i="1"/>
  <c r="AT107" i="1"/>
  <c r="AQ79" i="1"/>
  <c r="AT109" i="1"/>
  <c r="AL42" i="1"/>
  <c r="AT42" i="1" s="1"/>
  <c r="AQ183" i="1"/>
  <c r="AT44" i="1"/>
  <c r="AQ9" i="1"/>
  <c r="AQ22" i="1"/>
  <c r="AH17" i="1"/>
  <c r="AI17" i="1"/>
  <c r="AH86" i="1"/>
  <c r="AI86" i="1"/>
  <c r="AQ29" i="1"/>
  <c r="AI160" i="1"/>
  <c r="AH160" i="1"/>
  <c r="AM83" i="1"/>
  <c r="AL83" i="1"/>
  <c r="AH25" i="1"/>
  <c r="AI25" i="1"/>
  <c r="AQ24" i="1"/>
  <c r="AI75" i="1"/>
  <c r="AH75" i="1"/>
  <c r="AM149" i="1"/>
  <c r="AL149" i="1"/>
  <c r="AS188" i="1"/>
  <c r="AS192" i="1" s="1"/>
  <c r="AI129" i="1"/>
  <c r="AH129" i="1"/>
  <c r="AL113" i="1"/>
  <c r="AM113" i="1"/>
  <c r="AP113" i="1" s="1"/>
  <c r="AM126" i="1"/>
  <c r="AP126" i="1" s="1"/>
  <c r="AL126" i="1"/>
  <c r="AL33" i="1"/>
  <c r="AM33" i="1"/>
  <c r="AP33" i="1" s="1"/>
  <c r="AQ28" i="1"/>
  <c r="AI117" i="1"/>
  <c r="AH117" i="1"/>
  <c r="AL116" i="1"/>
  <c r="AM116" i="1"/>
  <c r="AP116" i="1" s="1"/>
  <c r="AQ179" i="1"/>
  <c r="AD191" i="1"/>
  <c r="AQ191" i="1"/>
  <c r="AI164" i="1"/>
  <c r="AH164" i="1"/>
  <c r="AM94" i="1"/>
  <c r="AL94" i="1"/>
  <c r="AI125" i="1"/>
  <c r="AH125" i="1"/>
  <c r="AM151" i="1"/>
  <c r="AL151" i="1"/>
  <c r="AM132" i="1"/>
  <c r="AP132" i="1" s="1"/>
  <c r="AL132" i="1"/>
  <c r="AI26" i="1"/>
  <c r="AH26" i="1"/>
  <c r="AM30" i="1"/>
  <c r="AL30" i="1"/>
  <c r="AM10" i="1"/>
  <c r="AL10" i="1"/>
  <c r="AQ148" i="1"/>
  <c r="AQ172" i="1"/>
  <c r="AI176" i="1"/>
  <c r="AH176" i="1"/>
  <c r="AD187" i="1"/>
  <c r="AI154" i="1"/>
  <c r="AH154" i="1"/>
  <c r="AM98" i="1"/>
  <c r="AL98" i="1"/>
  <c r="AQ72" i="1"/>
  <c r="AM118" i="1"/>
  <c r="AP118" i="1" s="1"/>
  <c r="AL118" i="1"/>
  <c r="AM122" i="1"/>
  <c r="AP122" i="1" s="1"/>
  <c r="AL122" i="1"/>
  <c r="AT122" i="1" s="1"/>
  <c r="AM166" i="1"/>
  <c r="AP166" i="1" s="1"/>
  <c r="AL166" i="1"/>
  <c r="AI150" i="1"/>
  <c r="AH150" i="1"/>
  <c r="AI46" i="1"/>
  <c r="AH46" i="1"/>
  <c r="AI147" i="1"/>
  <c r="AH147" i="1"/>
  <c r="AL138" i="1"/>
  <c r="AM18" i="1"/>
  <c r="AP18" i="1" s="1"/>
  <c r="AL18" i="1"/>
  <c r="AI144" i="1"/>
  <c r="AH144" i="1"/>
  <c r="AQ88" i="1"/>
  <c r="AM47" i="1"/>
  <c r="AP47" i="1" s="1"/>
  <c r="AL47" i="1"/>
  <c r="AQ162" i="1"/>
  <c r="AQ41" i="1"/>
  <c r="AQ33" i="1"/>
  <c r="AQ44" i="1"/>
  <c r="AA188" i="1"/>
  <c r="AD188" i="1" s="1"/>
  <c r="AD189" i="1" s="1"/>
  <c r="AM163" i="1"/>
  <c r="AL163" i="1"/>
  <c r="AM23" i="1"/>
  <c r="AL23" i="1"/>
  <c r="AI84" i="1"/>
  <c r="AH84" i="1"/>
  <c r="AI15" i="1"/>
  <c r="AH15" i="1"/>
  <c r="AQ40" i="1"/>
  <c r="AQ32" i="1"/>
  <c r="AT28" i="1"/>
  <c r="AH188" i="1" l="1"/>
  <c r="AE192" i="1"/>
  <c r="AQ166" i="1"/>
  <c r="AQ156" i="1"/>
  <c r="AT116" i="1"/>
  <c r="AQ47" i="1"/>
  <c r="AT166" i="1"/>
  <c r="AT33" i="1"/>
  <c r="AT156" i="1"/>
  <c r="AT47" i="1"/>
  <c r="AQ113" i="1"/>
  <c r="AT126" i="1"/>
  <c r="AL86" i="1"/>
  <c r="AM86" i="1"/>
  <c r="AP86" i="1" s="1"/>
  <c r="AL25" i="1"/>
  <c r="AM25" i="1"/>
  <c r="AM17" i="1"/>
  <c r="AP17" i="1" s="1"/>
  <c r="AL17" i="1"/>
  <c r="AT17" i="1" s="1"/>
  <c r="AQ17" i="1"/>
  <c r="AM75" i="1"/>
  <c r="AP75" i="1" s="1"/>
  <c r="AL75" i="1"/>
  <c r="AT75" i="1" s="1"/>
  <c r="AI187" i="1"/>
  <c r="AI194" i="1" s="1"/>
  <c r="AQ118" i="1"/>
  <c r="AT113" i="1"/>
  <c r="AQ122" i="1"/>
  <c r="AT132" i="1"/>
  <c r="AP149" i="1"/>
  <c r="AT149" i="1" s="1"/>
  <c r="AQ149" i="1"/>
  <c r="AP83" i="1"/>
  <c r="AT83" i="1" s="1"/>
  <c r="AQ83" i="1"/>
  <c r="AM67" i="1"/>
  <c r="AP67" i="1" s="1"/>
  <c r="AL67" i="1"/>
  <c r="AT67" i="1" s="1"/>
  <c r="AL160" i="1"/>
  <c r="AM160" i="1"/>
  <c r="AP160" i="1" s="1"/>
  <c r="AT160" i="1" s="1"/>
  <c r="AT18" i="1"/>
  <c r="AT118" i="1"/>
  <c r="AM164" i="1"/>
  <c r="AP164" i="1" s="1"/>
  <c r="AL164" i="1"/>
  <c r="AQ132" i="1"/>
  <c r="AM144" i="1"/>
  <c r="AL144" i="1"/>
  <c r="AM147" i="1"/>
  <c r="AP147" i="1" s="1"/>
  <c r="AL147" i="1"/>
  <c r="AT147" i="1" s="1"/>
  <c r="AP151" i="1"/>
  <c r="AT151" i="1" s="1"/>
  <c r="AQ151" i="1"/>
  <c r="AT191" i="1"/>
  <c r="AP23" i="1"/>
  <c r="AT23" i="1" s="1"/>
  <c r="AQ23" i="1"/>
  <c r="AD192" i="1"/>
  <c r="AH189" i="1"/>
  <c r="AH192" i="1"/>
  <c r="AM154" i="1"/>
  <c r="AL154" i="1"/>
  <c r="AP30" i="1"/>
  <c r="AT30" i="1" s="1"/>
  <c r="AQ30" i="1"/>
  <c r="AL125" i="1"/>
  <c r="AT125" i="1" s="1"/>
  <c r="AM125" i="1"/>
  <c r="AP125" i="1" s="1"/>
  <c r="AA192" i="1"/>
  <c r="AM117" i="1"/>
  <c r="AL117" i="1"/>
  <c r="AP10" i="1"/>
  <c r="AQ10" i="1"/>
  <c r="AM15" i="1"/>
  <c r="AP15" i="1" s="1"/>
  <c r="AL15" i="1"/>
  <c r="AP163" i="1"/>
  <c r="AT163" i="1" s="1"/>
  <c r="AQ163" i="1"/>
  <c r="AM46" i="1"/>
  <c r="AP46" i="1" s="1"/>
  <c r="AL46" i="1"/>
  <c r="AQ116" i="1"/>
  <c r="AH187" i="1"/>
  <c r="AM129" i="1"/>
  <c r="AP129" i="1" s="1"/>
  <c r="AL129" i="1"/>
  <c r="AP138" i="1"/>
  <c r="AT138" i="1" s="1"/>
  <c r="AQ138" i="1"/>
  <c r="AD194" i="1"/>
  <c r="AM26" i="1"/>
  <c r="AL26" i="1"/>
  <c r="AP94" i="1"/>
  <c r="AT94" i="1" s="1"/>
  <c r="AQ94" i="1"/>
  <c r="AQ18" i="1"/>
  <c r="AQ126" i="1"/>
  <c r="AQ147" i="1"/>
  <c r="AL150" i="1"/>
  <c r="AM150" i="1"/>
  <c r="AM176" i="1"/>
  <c r="AP176" i="1" s="1"/>
  <c r="AL176" i="1"/>
  <c r="AT176" i="1" s="1"/>
  <c r="AL84" i="1"/>
  <c r="AM84" i="1"/>
  <c r="AP84" i="1" s="1"/>
  <c r="AP98" i="1"/>
  <c r="AT98" i="1" s="1"/>
  <c r="AQ98" i="1"/>
  <c r="AT164" i="1" l="1"/>
  <c r="AI188" i="1"/>
  <c r="AL188" i="1" s="1"/>
  <c r="AQ125" i="1"/>
  <c r="AT129" i="1"/>
  <c r="AQ176" i="1"/>
  <c r="AQ160" i="1"/>
  <c r="AT86" i="1"/>
  <c r="AT15" i="1"/>
  <c r="AP25" i="1"/>
  <c r="AP187" i="1" s="1"/>
  <c r="AQ25" i="1"/>
  <c r="AQ164" i="1"/>
  <c r="AQ67" i="1"/>
  <c r="AQ75" i="1"/>
  <c r="AT46" i="1"/>
  <c r="AQ86" i="1"/>
  <c r="AP117" i="1"/>
  <c r="AT117" i="1" s="1"/>
  <c r="AQ117" i="1"/>
  <c r="AP154" i="1"/>
  <c r="AT154" i="1" s="1"/>
  <c r="AQ154" i="1"/>
  <c r="AP144" i="1"/>
  <c r="AT144" i="1" s="1"/>
  <c r="AQ144" i="1"/>
  <c r="AT84" i="1"/>
  <c r="AM187" i="1"/>
  <c r="AM188" i="1" s="1"/>
  <c r="AQ84" i="1"/>
  <c r="AT10" i="1"/>
  <c r="AQ46" i="1"/>
  <c r="AQ129" i="1"/>
  <c r="AL187" i="1"/>
  <c r="AQ15" i="1"/>
  <c r="AP150" i="1"/>
  <c r="AT150" i="1" s="1"/>
  <c r="AQ150" i="1"/>
  <c r="AP26" i="1"/>
  <c r="AT26" i="1" s="1"/>
  <c r="AQ26" i="1"/>
  <c r="AH194" i="1"/>
  <c r="AT25" i="1" l="1"/>
  <c r="AT187" i="1" s="1"/>
  <c r="AI192" i="1"/>
  <c r="AQ187" i="1"/>
  <c r="AQ188" i="1" s="1"/>
  <c r="AP194" i="1"/>
  <c r="AP188" i="1"/>
  <c r="AM192" i="1"/>
  <c r="AL194" i="1"/>
  <c r="AL189" i="1"/>
  <c r="AL192" i="1"/>
  <c r="AR193" i="1" l="1"/>
  <c r="AS193" i="1"/>
  <c r="AP189" i="1"/>
  <c r="AP192" i="1"/>
  <c r="AQ193" i="1"/>
  <c r="AT188" i="1"/>
  <c r="AQ192" i="1"/>
  <c r="AT189" i="1" l="1"/>
  <c r="AT192" i="1"/>
</calcChain>
</file>

<file path=xl/comments1.xml><?xml version="1.0" encoding="utf-8"?>
<comments xmlns="http://schemas.openxmlformats.org/spreadsheetml/2006/main">
  <authors>
    <author>dmunoz</author>
    <author>Manuel</author>
    <author>Corponariño</author>
    <author>ALEIDA</author>
  </authors>
  <commentList>
    <comment ref="A2" authorId="0" shapeId="0">
      <text>
        <r>
          <rPr>
            <b/>
            <sz val="9"/>
            <color indexed="81"/>
            <rFont val="Tahoma"/>
            <family val="2"/>
          </rPr>
          <t>Indicar en esta columna el nombre de la línea estratégica del PGAR vigente</t>
        </r>
        <r>
          <rPr>
            <sz val="9"/>
            <color indexed="81"/>
            <rFont val="Tahoma"/>
            <family val="2"/>
          </rPr>
          <t xml:space="preserve">
</t>
        </r>
      </text>
    </comment>
    <comment ref="C2" authorId="0" shapeId="0">
      <text>
        <r>
          <rPr>
            <b/>
            <sz val="9"/>
            <color indexed="81"/>
            <rFont val="Tahoma"/>
            <family val="2"/>
          </rPr>
          <t xml:space="preserve">Indicar en esta columna el nombre del Programa definido relacionado con la Línea estratégica del PGAR vigente.
Recuerde que  según el decreto 2350 de junio de 2009 se deben conservar los programas del plan  2007-2009. </t>
        </r>
      </text>
    </comment>
    <comment ref="D2" authorId="0" shapeId="0">
      <text>
        <r>
          <rPr>
            <b/>
            <sz val="9"/>
            <color indexed="81"/>
            <rFont val="Tahoma"/>
            <family val="2"/>
          </rPr>
          <t>RECUERDE QUE:
La sumatoria de las ponderaciones de los programas de un plan debe dar el 100%</t>
        </r>
        <r>
          <rPr>
            <sz val="9"/>
            <color indexed="81"/>
            <rFont val="Tahoma"/>
            <family val="2"/>
          </rPr>
          <t xml:space="preserve">
</t>
        </r>
      </text>
    </comment>
    <comment ref="E2" authorId="0" shapeId="0">
      <text>
        <r>
          <rPr>
            <b/>
            <sz val="9"/>
            <color indexed="81"/>
            <rFont val="Tahoma"/>
            <family val="2"/>
          </rPr>
          <t>Indicar en esta columna el nombre del Proyecto de cada programa. 
Ingrese las filas que sean necesarias.
Recuerde que  según el decreto 2350 de junio de 2009 se pueden adicionar proyectos a los propuestos en el plan 2007-2009.  
Con la finalidad de mantener una estructura mas integral de programas, proyectos y actividades; se deben conservar los nombres de los proyectos del Plan anterior independientemente que no se continúen en el año 2010 y/o 2011. Igualmente  los nuevos proyectos serán integrados  en la estructura general independientemente que en los años 2007, 2008 y-2009 aparezcan con meta "cero".</t>
        </r>
      </text>
    </comment>
    <comment ref="F2" authorId="0" shapeId="0">
      <text>
        <r>
          <rPr>
            <b/>
            <sz val="9"/>
            <color indexed="81"/>
            <rFont val="Tahoma"/>
            <family val="2"/>
          </rPr>
          <t>RECUERDE QUE:
La sumatoria de las ponderaciones de los proyectos de un programa debe dar el 100%</t>
        </r>
        <r>
          <rPr>
            <sz val="9"/>
            <color indexed="81"/>
            <rFont val="Tahoma"/>
            <family val="2"/>
          </rPr>
          <t xml:space="preserve">
</t>
        </r>
      </text>
    </comment>
    <comment ref="I2" authorId="1" shapeId="0">
      <text>
        <r>
          <rPr>
            <b/>
            <sz val="9"/>
            <color indexed="81"/>
            <rFont val="Tahoma"/>
            <family val="2"/>
          </rPr>
          <t xml:space="preserve">Manuel: </t>
        </r>
        <r>
          <rPr>
            <sz val="9"/>
            <color indexed="81"/>
            <rFont val="Tahoma"/>
            <family val="2"/>
          </rPr>
          <t>Teniendo en cuenta las directrices del MADS que en esta matriz, no se plantean productos sino objetivos y que esta MAO ya fue aprobada por el Consejo se hace analogía de productos con objetivos en esta columna I, y no se modifica redación, de acuerdo la mesa de trabajo relizada con Eliana .. del MADS el día 26 de juio de 2024 a las 9:00 am</t>
        </r>
      </text>
    </comment>
    <comment ref="K2" authorId="0" shapeId="0">
      <text>
        <r>
          <rPr>
            <b/>
            <sz val="9"/>
            <color indexed="81"/>
            <rFont val="Tahoma"/>
            <family val="2"/>
          </rPr>
          <t xml:space="preserve">NOTA ACLARATORIA:
Algunas Corporaciones denominan a las actividades con el nombre de metas y en algunos casos las nombran como indicadores, independiente de esta condición esta denominación es en texto y se expresa en esta columna, y el valor cuantitativo o numérico se expresa en las columnas de metas físicas  que están a la derecha.
Recuerde que  según el decreto 2350 de junio de 2009 se pueden adicionar actividades a las propuestas en el plan 2007-2009.  </t>
        </r>
        <r>
          <rPr>
            <sz val="9"/>
            <color indexed="81"/>
            <rFont val="Tahoma"/>
            <family val="2"/>
          </rPr>
          <t xml:space="preserve">
</t>
        </r>
      </text>
    </comment>
    <comment ref="P2" authorId="0" shapeId="0">
      <text>
        <r>
          <rPr>
            <b/>
            <sz val="9"/>
            <color indexed="81"/>
            <rFont val="Tahoma"/>
            <family val="2"/>
          </rPr>
          <t>En estas columnas se colocan los valores cuantitativos o numéricos definidos como metas, para los años 1, 2 y 3 es lo que ya estaba planteado en el PAT 2007-2009, para los años 2010 y 2011 son las nuevas metas propuestas.
Las metas están relacionadas con las actividades, esto debido a que es difícil identificar metas por proyectos cuando las actividades son de diferente naturaleza. No obstante el que desee establecer metas por proyecto deberá ingresar la respectiva fila adicional en la parte superior de cada bloque de actividades. Igual condición se presenta para los programas.</t>
        </r>
        <r>
          <rPr>
            <sz val="9"/>
            <color indexed="81"/>
            <rFont val="Tahoma"/>
            <family val="2"/>
          </rPr>
          <t xml:space="preserve">
</t>
        </r>
      </text>
    </comment>
    <comment ref="AU2" authorId="1" shapeId="0">
      <text>
        <r>
          <rPr>
            <b/>
            <sz val="9"/>
            <color indexed="81"/>
            <rFont val="Tahoma"/>
            <charset val="1"/>
          </rPr>
          <t>Aplica si la actividad tiene un proceso de georeferenciación asociado. 
Seleccione la opción de representación (Línea, polígono o punto)</t>
        </r>
      </text>
    </comment>
    <comment ref="AE10" authorId="1" shapeId="0">
      <text>
        <r>
          <rPr>
            <b/>
            <sz val="9"/>
            <color indexed="81"/>
            <rFont val="Tahoma"/>
            <family val="2"/>
          </rPr>
          <t>Manuel:</t>
        </r>
        <r>
          <rPr>
            <sz val="9"/>
            <color indexed="81"/>
            <rFont val="Tahoma"/>
            <family val="2"/>
          </rPr>
          <t xml:space="preserve">
Se adicionan 40 millones para cubrir acciones de sentencia amazonia </t>
        </r>
      </text>
    </comment>
    <comment ref="E18" authorId="1" shapeId="0">
      <text>
        <r>
          <rPr>
            <b/>
            <sz val="9"/>
            <color indexed="81"/>
            <rFont val="Tahoma"/>
            <family val="2"/>
          </rPr>
          <t xml:space="preserve">Manuel: Revisar el tema de la sentencia Amazonía, si se va a dejar todos los proyectos como están o se   va a plantear un proyecto especifico por tema de recursos o precisar y/localizar la metas </t>
        </r>
        <r>
          <rPr>
            <sz val="9"/>
            <color indexed="81"/>
            <rFont val="Tahoma"/>
            <family val="2"/>
          </rPr>
          <t xml:space="preserve">
</t>
        </r>
      </text>
    </comment>
    <comment ref="AA18" authorId="1" shapeId="0">
      <text>
        <r>
          <rPr>
            <b/>
            <sz val="9"/>
            <color indexed="81"/>
            <rFont val="Tahoma"/>
            <family val="2"/>
          </rPr>
          <t>Manuel:</t>
        </r>
        <r>
          <rPr>
            <sz val="9"/>
            <color indexed="81"/>
            <rFont val="Tahoma"/>
            <family val="2"/>
          </rPr>
          <t xml:space="preserve">
</t>
        </r>
      </text>
    </comment>
    <comment ref="AB18" authorId="1" shapeId="0">
      <text>
        <r>
          <rPr>
            <b/>
            <sz val="9"/>
            <color indexed="81"/>
            <rFont val="Tahoma"/>
            <family val="2"/>
          </rPr>
          <t>Manuel:</t>
        </r>
        <r>
          <rPr>
            <sz val="9"/>
            <color indexed="81"/>
            <rFont val="Tahoma"/>
            <family val="2"/>
          </rPr>
          <t xml:space="preserve">
FCA 2024 restauración</t>
        </r>
      </text>
    </comment>
    <comment ref="AC18" authorId="1" shapeId="0">
      <text>
        <r>
          <rPr>
            <b/>
            <sz val="9"/>
            <color indexed="81"/>
            <rFont val="Tahoma"/>
            <family val="2"/>
          </rPr>
          <t>Manuel:</t>
        </r>
        <r>
          <rPr>
            <sz val="9"/>
            <color indexed="81"/>
            <rFont val="Tahoma"/>
            <family val="2"/>
          </rPr>
          <t xml:space="preserve">
saldo Convenio gobernación 2023, a ejecutar en 2024, el No, GN3283 y se adiciona metas 28,14 Km de aislamiento, (171,58 has) - 164 ML o 190 Henrry 
- Convenio GN3415 2.711.180.406,95; adicionar metas: 70.12 has  aislamiento (164 Ml/ha), 40 ha en restauración, mantenimiento 40 has, 470 estufas eficientes y 470 huertos leñeros
</t>
        </r>
      </text>
    </comment>
    <comment ref="AE18" authorId="1" shapeId="0">
      <text>
        <r>
          <rPr>
            <b/>
            <sz val="9"/>
            <color indexed="81"/>
            <rFont val="Tahoma"/>
            <family val="2"/>
          </rPr>
          <t>Manuel:</t>
        </r>
        <r>
          <rPr>
            <sz val="9"/>
            <color indexed="81"/>
            <rFont val="Tahoma"/>
            <family val="2"/>
          </rPr>
          <t xml:space="preserve">
Se incorpora saldo por solicitud del director </t>
        </r>
      </text>
    </comment>
    <comment ref="AI18" authorId="1" shapeId="0">
      <text>
        <r>
          <rPr>
            <b/>
            <sz val="9"/>
            <color indexed="81"/>
            <rFont val="Tahoma"/>
            <family val="2"/>
          </rPr>
          <t>Manuel:</t>
        </r>
        <r>
          <rPr>
            <sz val="9"/>
            <color indexed="81"/>
            <rFont val="Tahoma"/>
            <family val="2"/>
          </rPr>
          <t xml:space="preserve">
se adiciona para restauración 203.549.494
</t>
        </r>
      </text>
    </comment>
    <comment ref="AK18" authorId="1" shapeId="0">
      <text>
        <r>
          <rPr>
            <b/>
            <sz val="9"/>
            <color indexed="81"/>
            <rFont val="Tahoma"/>
            <family val="2"/>
          </rPr>
          <t>Manuel:</t>
        </r>
        <r>
          <rPr>
            <sz val="9"/>
            <color indexed="81"/>
            <rFont val="Tahoma"/>
            <family val="2"/>
          </rPr>
          <t xml:space="preserve">
Corresponden a los recursos que se cambian a otras fuentes de restauración para incluir en APN POF Y POMCA Patía
</t>
        </r>
      </text>
    </comment>
    <comment ref="AM18" authorId="1" shapeId="0">
      <text>
        <r>
          <rPr>
            <b/>
            <sz val="9"/>
            <color indexed="81"/>
            <rFont val="Tahoma"/>
            <family val="2"/>
          </rPr>
          <t>Manuel:</t>
        </r>
        <r>
          <rPr>
            <sz val="9"/>
            <color indexed="81"/>
            <rFont val="Tahoma"/>
            <family val="2"/>
          </rPr>
          <t xml:space="preserve">
Se adionan 97316851 para resta.
</t>
        </r>
      </text>
    </comment>
    <comment ref="AB22" authorId="1" shapeId="0">
      <text>
        <r>
          <rPr>
            <b/>
            <sz val="9"/>
            <color indexed="81"/>
            <rFont val="Tahoma"/>
            <family val="2"/>
          </rPr>
          <t>Manuel:</t>
        </r>
        <r>
          <rPr>
            <sz val="9"/>
            <color indexed="81"/>
            <rFont val="Tahoma"/>
            <family val="2"/>
          </rPr>
          <t xml:space="preserve">
FCA mantenimiento
</t>
        </r>
      </text>
    </comment>
    <comment ref="AI24" authorId="1" shapeId="0">
      <text>
        <r>
          <rPr>
            <b/>
            <sz val="9"/>
            <color indexed="81"/>
            <rFont val="Tahoma"/>
            <family val="2"/>
          </rPr>
          <t xml:space="preserve">Manuel:
Se adicionan 200 millones para incentivos 
</t>
        </r>
      </text>
    </comment>
    <comment ref="AM24" authorId="1" shapeId="0">
      <text>
        <r>
          <rPr>
            <b/>
            <sz val="9"/>
            <color indexed="81"/>
            <rFont val="Tahoma"/>
            <family val="2"/>
          </rPr>
          <t>Manuel:</t>
        </r>
        <r>
          <rPr>
            <sz val="9"/>
            <color indexed="81"/>
            <rFont val="Tahoma"/>
            <family val="2"/>
          </rPr>
          <t xml:space="preserve">
Se adicionan incentivos 100 millones</t>
        </r>
      </text>
    </comment>
    <comment ref="AI25" authorId="1" shapeId="0">
      <text>
        <r>
          <rPr>
            <b/>
            <sz val="9"/>
            <color indexed="81"/>
            <rFont val="Tahoma"/>
            <family val="2"/>
          </rPr>
          <t>Manuel:</t>
        </r>
        <r>
          <rPr>
            <sz val="9"/>
            <color indexed="81"/>
            <rFont val="Tahoma"/>
            <family val="2"/>
          </rPr>
          <t xml:space="preserve">
Se adicionan 100 millones contrapartida POF 2026 y 2027
</t>
        </r>
      </text>
    </comment>
    <comment ref="AN25" authorId="1" shapeId="0">
      <text>
        <r>
          <rPr>
            <b/>
            <sz val="9"/>
            <color indexed="81"/>
            <rFont val="Tahoma"/>
            <family val="2"/>
          </rPr>
          <t>Manuel:</t>
        </r>
        <r>
          <rPr>
            <sz val="9"/>
            <color indexed="81"/>
            <rFont val="Tahoma"/>
            <family val="2"/>
          </rPr>
          <t xml:space="preserve">
se traslada 1.700 millones para el estudio de cc</t>
        </r>
      </text>
    </comment>
    <comment ref="K30" authorId="1" shapeId="0">
      <text>
        <r>
          <rPr>
            <b/>
            <sz val="9"/>
            <color indexed="81"/>
            <rFont val="Tahoma"/>
            <family val="2"/>
          </rPr>
          <t>Manuel:</t>
        </r>
        <r>
          <rPr>
            <sz val="9"/>
            <color indexed="81"/>
            <rFont val="Tahoma"/>
            <family val="2"/>
          </rPr>
          <t xml:space="preserve">
Se condiciona a la zona andino amazónica o se deja abierta la opción?
</t>
        </r>
      </text>
    </comment>
    <comment ref="K31" authorId="1" shapeId="0">
      <text>
        <r>
          <rPr>
            <b/>
            <sz val="9"/>
            <color indexed="81"/>
            <rFont val="Tahoma"/>
            <family val="2"/>
          </rPr>
          <t>Manuel:</t>
        </r>
        <r>
          <rPr>
            <sz val="9"/>
            <color indexed="81"/>
            <rFont val="Tahoma"/>
            <family val="2"/>
          </rPr>
          <t xml:space="preserve">
Se condiciona a la zona andino amazónica o se deja abierta la opción?
</t>
        </r>
      </text>
    </comment>
    <comment ref="AC35" authorId="1" shapeId="0">
      <text>
        <r>
          <rPr>
            <b/>
            <sz val="9"/>
            <color indexed="81"/>
            <rFont val="Tahoma"/>
            <family val="2"/>
          </rPr>
          <t>Manuel:</t>
        </r>
        <r>
          <rPr>
            <sz val="9"/>
            <color indexed="81"/>
            <rFont val="Tahoma"/>
            <family val="2"/>
          </rPr>
          <t xml:space="preserve">
Convenio  GN3365 PSA 1924  beneficiarios incluidos en la meta 2024</t>
        </r>
      </text>
    </comment>
    <comment ref="AI35" authorId="1" shapeId="0">
      <text>
        <r>
          <rPr>
            <b/>
            <sz val="9"/>
            <color indexed="81"/>
            <rFont val="Tahoma"/>
            <family val="2"/>
          </rPr>
          <t>Manuel:</t>
        </r>
        <r>
          <rPr>
            <sz val="9"/>
            <color indexed="81"/>
            <rFont val="Tahoma"/>
            <family val="2"/>
          </rPr>
          <t xml:space="preserve">
100 millones para plan de humedal laguna larga
150 millones Estudio capacidad de carga del lago Guamuez </t>
        </r>
      </text>
    </comment>
    <comment ref="AM35" authorId="1" shapeId="0">
      <text>
        <r>
          <rPr>
            <b/>
            <sz val="9"/>
            <color indexed="81"/>
            <rFont val="Tahoma"/>
            <family val="2"/>
          </rPr>
          <t>Manuel:</t>
        </r>
        <r>
          <rPr>
            <sz val="9"/>
            <color indexed="81"/>
            <rFont val="Tahoma"/>
            <family val="2"/>
          </rPr>
          <t xml:space="preserve">
100 millones para plan de humedal laguna larga
150 millones Estudio capacidad de carga del lago Guamuez </t>
        </r>
      </text>
    </comment>
    <comment ref="AN35" authorId="1" shapeId="0">
      <text>
        <r>
          <rPr>
            <b/>
            <sz val="9"/>
            <color indexed="81"/>
            <rFont val="Tahoma"/>
            <family val="2"/>
          </rPr>
          <t xml:space="preserve">Manuel
la totalidad se trasladó del pof 2027
</t>
        </r>
      </text>
    </comment>
    <comment ref="M37" authorId="1" shapeId="0">
      <text>
        <r>
          <rPr>
            <b/>
            <sz val="9"/>
            <color indexed="81"/>
            <rFont val="Tahoma"/>
            <family val="2"/>
          </rPr>
          <t>Manuel:</t>
        </r>
        <r>
          <rPr>
            <sz val="9"/>
            <color indexed="81"/>
            <rFont val="Tahoma"/>
            <family val="2"/>
          </rPr>
          <t xml:space="preserve">
19 MILLONES MANGLAR 
12 ZONA ANDIN A</t>
        </r>
      </text>
    </comment>
    <comment ref="AI46" authorId="1" shapeId="0">
      <text>
        <r>
          <rPr>
            <b/>
            <sz val="9"/>
            <color indexed="81"/>
            <rFont val="Tahoma"/>
            <family val="2"/>
          </rPr>
          <t>Manuel:</t>
        </r>
        <r>
          <rPr>
            <sz val="9"/>
            <color indexed="81"/>
            <rFont val="Tahoma"/>
            <family val="2"/>
          </rPr>
          <t xml:space="preserve">
Se incluyen 50 millones de contrapartida  para ordenación de Patía alto 2026 y 2027</t>
        </r>
      </text>
    </comment>
    <comment ref="AM46" authorId="1" shapeId="0">
      <text>
        <r>
          <rPr>
            <b/>
            <sz val="9"/>
            <color indexed="81"/>
            <rFont val="Tahoma"/>
            <family val="2"/>
          </rPr>
          <t>Manuel:</t>
        </r>
        <r>
          <rPr>
            <sz val="9"/>
            <color indexed="81"/>
            <rFont val="Tahoma"/>
            <family val="2"/>
          </rPr>
          <t xml:space="preserve">
Incluir recursos para ordenación de Patía alto, se planteó inicialmente par dos años 50% cada uno</t>
        </r>
      </text>
    </comment>
    <comment ref="AE54" authorId="1" shapeId="0">
      <text>
        <r>
          <rPr>
            <b/>
            <sz val="9"/>
            <color indexed="81"/>
            <rFont val="Tahoma"/>
            <family val="2"/>
          </rPr>
          <t>Manuel:</t>
        </r>
        <r>
          <rPr>
            <sz val="9"/>
            <color indexed="81"/>
            <rFont val="Tahoma"/>
            <family val="2"/>
          </rPr>
          <t xml:space="preserve">
revisar %80% ordenación, monitoreo y obras
</t>
        </r>
      </text>
    </comment>
    <comment ref="AA56" authorId="2" shapeId="0">
      <text>
        <r>
          <rPr>
            <sz val="9"/>
            <color indexed="81"/>
            <rFont val="Tahoma"/>
            <family val="2"/>
          </rPr>
          <t xml:space="preserve">Incluye RAE en cada vigencia. 2024=457346345
</t>
        </r>
      </text>
    </comment>
    <comment ref="AA60" authorId="2" shapeId="0">
      <text>
        <r>
          <rPr>
            <sz val="9"/>
            <color indexed="81"/>
            <rFont val="Tahoma"/>
            <family val="2"/>
          </rPr>
          <t>467 de TR y 63 RAE?
467 millones TR y 63 millones RAE</t>
        </r>
      </text>
    </comment>
    <comment ref="AE60" authorId="1" shapeId="0">
      <text>
        <r>
          <rPr>
            <b/>
            <sz val="9"/>
            <color indexed="81"/>
            <rFont val="Tahoma"/>
            <family val="2"/>
          </rPr>
          <t>Manuel:</t>
        </r>
        <r>
          <rPr>
            <sz val="9"/>
            <color indexed="81"/>
            <rFont val="Tahoma"/>
            <family val="2"/>
          </rPr>
          <t xml:space="preserve">
479.048.000 TR y 65.520.000 RAE
</t>
        </r>
      </text>
    </comment>
    <comment ref="AI60" authorId="1" shapeId="0">
      <text>
        <r>
          <rPr>
            <b/>
            <sz val="9"/>
            <color indexed="81"/>
            <rFont val="Tahoma"/>
            <family val="2"/>
          </rPr>
          <t>Manuel:</t>
        </r>
        <r>
          <rPr>
            <sz val="9"/>
            <color indexed="81"/>
            <rFont val="Tahoma"/>
            <family val="2"/>
          </rPr>
          <t xml:space="preserve">
536533560 TR y 65.520.00 + 10
% RAE
</t>
        </r>
      </text>
    </comment>
    <comment ref="AM60" authorId="1" shapeId="0">
      <text>
        <r>
          <rPr>
            <b/>
            <sz val="9"/>
            <color indexed="81"/>
            <rFont val="Tahoma"/>
            <family val="2"/>
          </rPr>
          <t>Manuel:</t>
        </r>
        <r>
          <rPr>
            <sz val="9"/>
            <color indexed="81"/>
            <rFont val="Tahoma"/>
            <family val="2"/>
          </rPr>
          <t xml:space="preserve">
479.048.000 TR y 72.072.000 +10% RAE
</t>
        </r>
      </text>
    </comment>
    <comment ref="AE67" authorId="1" shapeId="0">
      <text>
        <r>
          <rPr>
            <b/>
            <sz val="9"/>
            <color indexed="81"/>
            <rFont val="Tahoma"/>
            <family val="2"/>
          </rPr>
          <t>Manuel:</t>
        </r>
        <r>
          <rPr>
            <sz val="9"/>
            <color indexed="81"/>
            <rFont val="Tahoma"/>
            <family val="2"/>
          </rPr>
          <t xml:space="preserve">
100 millones para la actividad 1.5 por vigencias futuras, acuerdo en reunión DG</t>
        </r>
      </text>
    </comment>
    <comment ref="X70" authorId="3" shapeId="0">
      <text>
        <r>
          <rPr>
            <b/>
            <sz val="10"/>
            <color indexed="81"/>
            <rFont val="Tahoma"/>
            <family val="2"/>
          </rPr>
          <t>ALEIDA:</t>
        </r>
        <r>
          <rPr>
            <sz val="10"/>
            <color indexed="81"/>
            <rFont val="Tahoma"/>
            <family val="2"/>
          </rPr>
          <t xml:space="preserve">
CORPONARIÑO PUEDE VERIFICAR EN EL SEGUIMIENTO AUNQUE ES COMPETENCIA DE LOS MUNICIPIOS </t>
        </r>
      </text>
    </comment>
    <comment ref="AE83" authorId="1" shapeId="0">
      <text>
        <r>
          <rPr>
            <b/>
            <sz val="9"/>
            <color indexed="81"/>
            <rFont val="Tahoma"/>
            <family val="2"/>
          </rPr>
          <t>Manuel:</t>
        </r>
        <r>
          <rPr>
            <sz val="9"/>
            <color indexed="81"/>
            <rFont val="Tahoma"/>
            <family val="2"/>
          </rPr>
          <t xml:space="preserve">
Es muy reducido para una obra 
</t>
        </r>
      </text>
    </comment>
    <comment ref="AE84" authorId="1" shapeId="0">
      <text>
        <r>
          <rPr>
            <b/>
            <sz val="9"/>
            <color indexed="81"/>
            <rFont val="Tahoma"/>
            <family val="2"/>
          </rPr>
          <t>Manuel:</t>
        </r>
        <r>
          <rPr>
            <sz val="9"/>
            <color indexed="81"/>
            <rFont val="Tahoma"/>
            <family val="2"/>
          </rPr>
          <t xml:space="preserve">
Se adicionan 50 millones para actividad nueva especies con potencial invasor </t>
        </r>
      </text>
    </comment>
    <comment ref="AE86" authorId="1" shapeId="0">
      <text>
        <r>
          <rPr>
            <b/>
            <sz val="9"/>
            <color indexed="81"/>
            <rFont val="Tahoma"/>
            <family val="2"/>
          </rPr>
          <t>Manuel:</t>
        </r>
        <r>
          <rPr>
            <sz val="9"/>
            <color indexed="81"/>
            <rFont val="Tahoma"/>
            <family val="2"/>
          </rPr>
          <t xml:space="preserve">
es necesario incrementar recursos  para acciones en la costa</t>
        </r>
      </text>
    </comment>
    <comment ref="AA88" authorId="1" shapeId="0">
      <text>
        <r>
          <rPr>
            <b/>
            <sz val="9"/>
            <color indexed="81"/>
            <rFont val="Tahoma"/>
            <family val="2"/>
          </rPr>
          <t>Manuel:</t>
        </r>
        <r>
          <rPr>
            <sz val="9"/>
            <color indexed="81"/>
            <rFont val="Tahoma"/>
            <family val="2"/>
          </rPr>
          <t xml:space="preserve">
Incluye comunicaciones 104 millones </t>
        </r>
      </text>
    </comment>
    <comment ref="AE88" authorId="1" shapeId="0">
      <text>
        <r>
          <rPr>
            <sz val="9"/>
            <color indexed="81"/>
            <rFont val="Tahoma"/>
            <family val="2"/>
          </rPr>
          <t xml:space="preserve">Se resta 50 millones de medios y se incrementan 186 millones de parques
</t>
        </r>
      </text>
    </comment>
    <comment ref="AE122" authorId="1" shapeId="0">
      <text>
        <r>
          <rPr>
            <b/>
            <sz val="9"/>
            <color indexed="81"/>
            <rFont val="Tahoma"/>
            <family val="2"/>
          </rPr>
          <t>Manuel:</t>
        </r>
        <r>
          <rPr>
            <sz val="9"/>
            <color indexed="81"/>
            <rFont val="Tahoma"/>
            <family val="2"/>
          </rPr>
          <t xml:space="preserve">
Se adicionan 30 millones para cubrir solicitud de economía circular 
</t>
        </r>
      </text>
    </comment>
    <comment ref="AE135" authorId="1" shapeId="0">
      <text>
        <r>
          <rPr>
            <b/>
            <sz val="9"/>
            <color indexed="81"/>
            <rFont val="Tahoma"/>
            <family val="2"/>
          </rPr>
          <t>Manuel:</t>
        </r>
        <r>
          <rPr>
            <sz val="9"/>
            <color indexed="81"/>
            <rFont val="Tahoma"/>
            <family val="2"/>
          </rPr>
          <t xml:space="preserve">
No se proyecta porque corresponde a formulación del PAC</t>
        </r>
      </text>
    </comment>
    <comment ref="AE138" authorId="1" shapeId="0">
      <text>
        <r>
          <rPr>
            <b/>
            <sz val="9"/>
            <color indexed="81"/>
            <rFont val="Tahoma"/>
            <family val="2"/>
          </rPr>
          <t>Manuel:</t>
        </r>
        <r>
          <rPr>
            <sz val="9"/>
            <color indexed="81"/>
            <rFont val="Tahoma"/>
            <family val="2"/>
          </rPr>
          <t xml:space="preserve">
Se incrementa 60 millones por el procedimiento de proyectos (personal)</t>
        </r>
      </text>
    </comment>
    <comment ref="AE151" authorId="1" shapeId="0">
      <text>
        <r>
          <rPr>
            <b/>
            <sz val="9"/>
            <color indexed="81"/>
            <rFont val="Tahoma"/>
            <family val="2"/>
          </rPr>
          <t>Manuel:</t>
        </r>
        <r>
          <rPr>
            <sz val="9"/>
            <color indexed="81"/>
            <rFont val="Tahoma"/>
            <family val="2"/>
          </rPr>
          <t xml:space="preserve">
Solicitud de sistemas, repuestos y equipos para habilitar pct. en los centros ambientales </t>
        </r>
      </text>
    </comment>
    <comment ref="AC191" authorId="1" shapeId="0">
      <text>
        <r>
          <rPr>
            <b/>
            <sz val="9"/>
            <color indexed="81"/>
            <rFont val="Tahoma"/>
            <family val="2"/>
          </rPr>
          <t>Manuel:</t>
        </r>
        <r>
          <rPr>
            <sz val="9"/>
            <color indexed="81"/>
            <rFont val="Tahoma"/>
            <family val="2"/>
          </rPr>
          <t xml:space="preserve">
Aquí la sumatoria de convenios 
</t>
        </r>
      </text>
    </comment>
  </commentList>
</comments>
</file>

<file path=xl/sharedStrings.xml><?xml version="1.0" encoding="utf-8"?>
<sst xmlns="http://schemas.openxmlformats.org/spreadsheetml/2006/main" count="2883" uniqueCount="1059">
  <si>
    <t>Anexo 1. Estructura Básica de las Acciones Operativas del Plan de Acción Cuatrienal 2024 - 2027 " Comprometidos por la conservación ambiental"</t>
  </si>
  <si>
    <t>LÍNEA
ESTR.
PGAR</t>
  </si>
  <si>
    <t>POND.
L.E.</t>
  </si>
  <si>
    <t xml:space="preserve">PRO
GRAMA </t>
  </si>
  <si>
    <t>POND.
PROG.</t>
  </si>
  <si>
    <t>PROYECTOS</t>
  </si>
  <si>
    <t xml:space="preserve">POND
 PROY. </t>
  </si>
  <si>
    <t>PROG.INV.
PÚBLICA - SEC.
AMBIENTE</t>
  </si>
  <si>
    <t xml:space="preserve">OBJETIVO </t>
  </si>
  <si>
    <t>OBJETIVOS</t>
  </si>
  <si>
    <t>POD</t>
  </si>
  <si>
    <t>ACTIVIDADES</t>
  </si>
  <si>
    <t>INDICADOR 
(IMG/COMPLEMENTARIO)</t>
  </si>
  <si>
    <t>CATEGORÍA/ TEMÁTICA</t>
  </si>
  <si>
    <t>UNID. DE
MEDIDA</t>
  </si>
  <si>
    <t>METAS FÍSICAS</t>
  </si>
  <si>
    <t xml:space="preserve">ESPECIFICACIÓN
 METAS </t>
  </si>
  <si>
    <t>INDICADORES MÍNIMOS DE GESTIÓN</t>
  </si>
  <si>
    <t>INDICADOR PGAR</t>
  </si>
  <si>
    <t>ODS</t>
  </si>
  <si>
    <t>META FINANCIERA  PROGRAMADA 2024</t>
  </si>
  <si>
    <t>META FINANCIERA  PROGRAMADA 2025</t>
  </si>
  <si>
    <t>META FINANCIERA PROGRAMADA 2026</t>
  </si>
  <si>
    <t>META FINANCIERA PROGRAMADA 2027</t>
  </si>
  <si>
    <t>TOTAL META FINANCIERA PROGRAMADA 2024 -2027</t>
  </si>
  <si>
    <t>GEOMETRIA DE LA ACTIVIDAD</t>
  </si>
  <si>
    <t>PLAN NACIONAL DE DESARROLLO</t>
  </si>
  <si>
    <t>SENTENCIAS</t>
  </si>
  <si>
    <t>EJE TRANSFORMADOR PND 2022-2026</t>
  </si>
  <si>
    <t xml:space="preserve">CATALIZADOR
PND 2022-2026 </t>
  </si>
  <si>
    <t>META PRIORIZADA PND 2022 - 2026</t>
  </si>
  <si>
    <t>TOTAL</t>
  </si>
  <si>
    <t>NOMBRE</t>
  </si>
  <si>
    <t>COD.</t>
  </si>
  <si>
    <t>INDICADOR</t>
  </si>
  <si>
    <t xml:space="preserve">NOMBRE </t>
  </si>
  <si>
    <t>RAE</t>
  </si>
  <si>
    <t>APN</t>
  </si>
  <si>
    <t>OTRAS 
FUENTES</t>
  </si>
  <si>
    <t>PRODUCTO</t>
  </si>
  <si>
    <t>POLÍTICA NACIONAL AMBIENTAL</t>
  </si>
  <si>
    <t>CATEGORÍA
 OCDE</t>
  </si>
  <si>
    <t>SUBCATEGORIA OCDE</t>
  </si>
  <si>
    <t xml:space="preserve">Funcionamiento </t>
  </si>
  <si>
    <t>2.1.1 GASTOS DE PERSONAL</t>
  </si>
  <si>
    <t>2.1.2 ADQUISICIÓN DE BIENES Y SERVICIOS</t>
  </si>
  <si>
    <t>2.1.3 TRANSFERENCIAS CORRIENTES</t>
  </si>
  <si>
    <t>2.1.8 GASTOS POR TRIBUTOS, MULTAS, SANCIONES E INTERESES DE MORA</t>
  </si>
  <si>
    <t>TOTAL FUNCIONAMIENTO</t>
  </si>
  <si>
    <t>LE1. Gestión integral del territorio para proteger, conservar y recuperar el patrimonio natural costero, marino y continental</t>
  </si>
  <si>
    <t>Programa 2. Conservación de la biodiversidad y sus servicios ecosistémicos</t>
  </si>
  <si>
    <t>Proyecto 2.1: Fortalecimiento de los mecanismos e instancias de articulación y gobernanza para el control, vigilancia y monitoreo al aprovechamiento, tráfico y comercialización de fauna y flora</t>
  </si>
  <si>
    <t>3202 Conservación de la biodiversidad y sus servicios ecosistémicos</t>
  </si>
  <si>
    <t>Mejorar el control y vigilancia de los recursos naturales fauna y flora.</t>
  </si>
  <si>
    <t>P-1: Control, vigilancia y seguimiento a la fauna y flora silvestre</t>
  </si>
  <si>
    <t>A-1.1: Realizar operativos de control a la movilización de productos forestales y fauna en el marco de la Estrategia Nacional de Prevención, Seguimiento, Control y Vigilancia.</t>
  </si>
  <si>
    <t>Número de operativos de control a la movilización de productos forestales y fauna realizados</t>
  </si>
  <si>
    <t>Indicador Propio/ Complementario</t>
  </si>
  <si>
    <t>Número</t>
  </si>
  <si>
    <t>L1.3.2
L5.101.1</t>
  </si>
  <si>
    <t>Retenes operativos de control realizados en aplicación de la Estrategia Nacional de Control y Vigilancia Forestal
Número de estrategias diseñadas, gestionadas y en ejecución en Nariño</t>
  </si>
  <si>
    <t>No Aplica</t>
  </si>
  <si>
    <t>3202046 Servicio de control y vigilancia al tráfico ilegal de especies</t>
  </si>
  <si>
    <t>320204600 Operativos de control y vigilancia</t>
  </si>
  <si>
    <t>Política Nacional para la gestión integral de la biodiversidad y sus servicios ecosistémicos</t>
  </si>
  <si>
    <t>1 CAPA</t>
  </si>
  <si>
    <t>CAPA-6) Protección de la biodiversidad y los paisajes</t>
  </si>
  <si>
    <t>GUÁITARA - 52001-23-33-2017-0639-00 
AMAZONIA- 11001-22-03-000- 2018-00319-01
LA COCHA - 52-001-23-33-000-2017-00070-00</t>
  </si>
  <si>
    <t>Ordenamiento territorial alrededor del agua y justicia ambiental</t>
  </si>
  <si>
    <t>Justicia ambiental y gobernanza inclusiva.</t>
  </si>
  <si>
    <t>Acuerdos territoriales para el ordenamiento alrededor del agua</t>
  </si>
  <si>
    <t>A-1.2: Operativizar el procedimiento de Aprovechamiento Forestal y de acciones de Gobernanza Forestal</t>
  </si>
  <si>
    <r>
      <t xml:space="preserve">Porcentaje de control y seguimiento al registro de Libros de operaciones forestales en línea </t>
    </r>
    <r>
      <rPr>
        <b/>
        <sz val="7"/>
        <rFont val="Arial"/>
        <family val="2"/>
      </rPr>
      <t>(Resol. 1971 de 2019)</t>
    </r>
  </si>
  <si>
    <t>Porcentaje</t>
  </si>
  <si>
    <t>Línea base a 2023: 166 empresas de transformación o comercialización de productos forestales con registro del libro de operaciones (centro 60, Costa 50,  sur 51 y suroccidente  5)
2024-2027: 100% de las empresas con registro activo en cada vigencia</t>
  </si>
  <si>
    <t>3202006 Servicio de reforestación de ecosistemas</t>
  </si>
  <si>
    <t>320200603 Plantaciones forestales con seguimiento</t>
  </si>
  <si>
    <t>Coordinación de los instrumentos de planificación de territorios vitales.</t>
  </si>
  <si>
    <t>A-1.3: Realizar  seguimiento a los permisos de aprovechamiento forestal otorgados.</t>
  </si>
  <si>
    <r>
      <t>Porcentaje de autorizaciones ambientales con seguimiento (Permisos de Aprovechamiento Forestal)</t>
    </r>
    <r>
      <rPr>
        <b/>
        <sz val="7"/>
        <rFont val="Arial"/>
        <family val="2"/>
      </rPr>
      <t xml:space="preserve"> (IMG Res. 667 /16)</t>
    </r>
  </si>
  <si>
    <t>Seguimiento Permiso de aprovechamiento forestal</t>
  </si>
  <si>
    <t xml:space="preserve">Porcentaje </t>
  </si>
  <si>
    <t xml:space="preserve">Línea base a 2024:17 permisos  activos 
2025-2027: 100 de permisos activos </t>
  </si>
  <si>
    <t>L1.3.1</t>
  </si>
  <si>
    <t>Porcentaje de autorizaciones ambientales con seguimiento (IMG Res.667)</t>
  </si>
  <si>
    <t>NA</t>
  </si>
  <si>
    <t>A-1.4: Adelantar el trámite de  las solicitudes de aprovechamiento forestal previo cumplimiento de los requisitos.</t>
  </si>
  <si>
    <r>
      <t xml:space="preserve">Tiempo promedio de trámite para la resolución de autorizaciones ambientales otorgadas por la Corporación (Permiso de Aprovechamiento Forestal) </t>
    </r>
    <r>
      <rPr>
        <b/>
        <sz val="7"/>
        <rFont val="Arial"/>
        <family val="2"/>
      </rPr>
      <t>(IMG Res.667/16)</t>
    </r>
  </si>
  <si>
    <t>Permisos de aprovechamiento forestal</t>
  </si>
  <si>
    <t xml:space="preserve">Días </t>
  </si>
  <si>
    <t>A-1.5: Ejecutar estrategias y/o acciones de articulación interinstitucional para el control del tráfico ilegal de especímenes de flora y fauna</t>
  </si>
  <si>
    <t>Número de estrategias y/o acciones de articulación interinstitucional  realizadas para el control tráfico ilegal</t>
  </si>
  <si>
    <t>L1.3.3
L1.32.1</t>
  </si>
  <si>
    <t>Articulación interinstitucional para el control del tráfico ilegal de especímenes de flora y fauna a nivel nacional y binacional
Cumplimiento de las metas regionales de la Estrategia Nacional para la Prevención y Control del Tráfico Ilegal de Especies Silvestres (ENPCTISPP) 2012- 2020.</t>
  </si>
  <si>
    <t>Mejorar el control, monitoreo y seguimiento al uso y aprovechamiento de los recursos fauna y flora en el Departamento.</t>
  </si>
  <si>
    <t>P-2: Manejo y disposición de especímenes de especies silvestres de fauna y flora terrestre y acuática</t>
  </si>
  <si>
    <t>A-2.1: Atender especímenes de fauna silvestre terrestre y/o acuática aprehendidos, restituidos o decomisados con evaluación, atención, valoración, tratamiento y  determinación de la opción para su disposición final por parte de la autoridad ambiental (Resolución 2064 de 2010)</t>
  </si>
  <si>
    <t xml:space="preserve">Porcentaje de especímenes de fauna silvestre terrestre y/o acuática aprehendidos, restituidos o decomisados ,con evaluación, atención, valoración, tratamiento y determinación de la opción para su disposición final </t>
  </si>
  <si>
    <t>Línea base a 2023: 223 individuos de fauna silvestre y 386 aletas de tiburón</t>
  </si>
  <si>
    <t>L5.100.1</t>
  </si>
  <si>
    <t>Número de hogares de paso fortalecidos.</t>
  </si>
  <si>
    <t>320204601 Individuos decomisados</t>
  </si>
  <si>
    <t>A-2.2: Gestionar la construcción de un Centro de Atención y Valoración de fauna Silvestre, en el departamento de Nariño</t>
  </si>
  <si>
    <t>Número de proyectos de inversión gestionados</t>
  </si>
  <si>
    <t xml:space="preserve">Número </t>
  </si>
  <si>
    <t>3202019 Centro de Atención y Valoración de fauna silvestre construido</t>
  </si>
  <si>
    <t>320201900 Centro de Atención y Valoración de fauna silvestre construido</t>
  </si>
  <si>
    <t>Capacidades de los gobiernos locales y las comunidades para la toma de decisiones de ordenamiento y planificación territorial.</t>
  </si>
  <si>
    <t>P-3: Ejecución de medidas de vigilancia de especies de aves silvestres para la atención de influenza aviar (Res.1609/2015)</t>
  </si>
  <si>
    <t>A-3.1: Atender reportes de influenza aviar en sitios identificados del departamento de Nariño.</t>
  </si>
  <si>
    <t xml:space="preserve">Porcentaje de atención de eventos reportados de influenza aviar en fauna silvestre </t>
  </si>
  <si>
    <t xml:space="preserve">Atención de todos las solicitudes recibidas en el periodo </t>
  </si>
  <si>
    <t>3202040 Servicio de asistencia técnica para la protección de la fauna y flora silvestre</t>
  </si>
  <si>
    <t>320204000 Entidades asistidas</t>
  </si>
  <si>
    <t xml:space="preserve">Proyecto 2.2: Gestión Integral de cuencas hidrográficas  y desarrollo sostenible </t>
  </si>
  <si>
    <t>Implementar acciones orientadas a disminuir el deterioro de servicios ecosistémicos de las cuencas hidrográficas de los ríos Guáitara, Juanambú, Mayo, Patía Güiza-Alto Mira y Mira del departamento de Nariño</t>
  </si>
  <si>
    <t>P-1: Implementación de estrategias de restauración ecológica en áreas de interés ambiental</t>
  </si>
  <si>
    <t xml:space="preserve">A-1.1: Implementar acciones de restauración, recuperación y/o rehabilitación ecológica en el marco de los POMCA aprobados y/o adoptados y, de las sentencias Guáitara y Amazonia </t>
  </si>
  <si>
    <r>
      <t xml:space="preserve">Porcentaje de áreas de ecosistemas en restauración, rehabilitación y recuperación </t>
    </r>
    <r>
      <rPr>
        <b/>
        <sz val="7"/>
        <rFont val="Arial"/>
        <family val="2"/>
      </rPr>
      <t xml:space="preserve">(IMG Res.667/16) </t>
    </r>
  </si>
  <si>
    <t>Áreas de ecosistemas en restauración ecológica</t>
  </si>
  <si>
    <t>2024: 1.925 (565 ha restauración activa y 1.360 ha de restauración pasiva - aislamiento)
2025: 350  ha Restauración Activa 
2026:300 ha  Restauración Activa 
2027: 300 ha  Restauración Activa 
Total: 2.875 ha 
De las cuales en cumplimiento de la sentencia Guáitara:
2024: 1334 ha (70 ha restauración activa  y 1264 ha restauración pasiva)
2025-2027: 210 ha de restauración activa (70 ha por vigencia) 
De las cuales en cumplimiento de la sentencia Amazonia:
2024 -2027: 40 ha de restauración activa (10 ha por vigencia)</t>
  </si>
  <si>
    <t>L1.46.1</t>
  </si>
  <si>
    <t>Porcentaje de áreas de ecosistemas en restauración, rehabilitación y recuperación.  (IMG. 667/16).</t>
  </si>
  <si>
    <t>15.1.4 C</t>
  </si>
  <si>
    <t>Áreas en proceso de restauración</t>
  </si>
  <si>
    <t>3202005 Servicio de restauración de ecosistemas</t>
  </si>
  <si>
    <t>320200500 Áreas en proceso de restauración</t>
  </si>
  <si>
    <t>2 CREMA</t>
  </si>
  <si>
    <t>CREMA-16) Otras actividades de gestión de recursos</t>
  </si>
  <si>
    <t xml:space="preserve">GUÁITARA - 52001-23-33-2017-0639-00
AMAZONIA- 11001-22-03-000- 2018-00319-01
TELEMBÍ - 032 </t>
  </si>
  <si>
    <t>Transformación productiva, internacionalización y acción climática.</t>
  </si>
  <si>
    <t>Programa de conservación de la naturaleza y su restauración.</t>
  </si>
  <si>
    <t>Áreas en proceso de restauración, recuperación y rehabilitación de ecosistemas naturales</t>
  </si>
  <si>
    <t>A-1.2: Fortalecer los viveros de Corponariño</t>
  </si>
  <si>
    <t>Número de viveros construidos, fortalecidos en funcionamiento</t>
  </si>
  <si>
    <t>Viveros: Guairasacha ( Pasto), San Juan(Ipiales), Sotomayor - Los Andes, uno por construir en una zona priorizada.</t>
  </si>
  <si>
    <t>3202038 Servicio de producción de plántulas en viveros</t>
  </si>
  <si>
    <t>320203800 Plántulas producidas</t>
  </si>
  <si>
    <t xml:space="preserve">A-1.3: Brindar acompañamiento técnico y apoyo logístico para la implementación de viveros municipales </t>
  </si>
  <si>
    <t>Número de viveros municipales apoyados</t>
  </si>
  <si>
    <t>1 Vivero en cumplimiento de la sentencia de la amazonia</t>
  </si>
  <si>
    <t xml:space="preserve">A-1.4: Ejecutar los Planes de Ordenación y Manejo de Cuencas (POMCAS) </t>
  </si>
  <si>
    <r>
      <t xml:space="preserve">Porcentaje de Planes de Ordenación y   Manejo de Cuencas  (POMCAS) en ejecución </t>
    </r>
    <r>
      <rPr>
        <b/>
        <sz val="7"/>
        <rFont val="Arial"/>
        <family val="2"/>
      </rPr>
      <t>(IMG Res. 667/16)</t>
    </r>
  </si>
  <si>
    <t>Porcentaje de POMCA en ejecución (PPOMCASEE), en el tiempo t</t>
  </si>
  <si>
    <t>2024- 2025: 4 POMCAS adoptados Guáitara, Juanambú, Mayo y Guiza Alto Mira
 2026- 2027: 5 POMCAS adoptados Guáitara, Juanambú, Mayo, Guiza Alto Mira y Mira</t>
  </si>
  <si>
    <t>L1.43.1</t>
  </si>
  <si>
    <t>Porcentaje de planes de Ordenación y Manejo de Cuencas (POMCA) en ejecución. (IMG Res. 667/16).</t>
  </si>
  <si>
    <t>6.5.2 C</t>
  </si>
  <si>
    <t>Planes de Ordenación y Manejo de Cuencas Hidrográficas (POMCA) en implementación en el territorio nacional</t>
  </si>
  <si>
    <t>3203030 Servicio de seguimiento a los procesos de ordenación y manejo de cuencas hidrográficas</t>
  </si>
  <si>
    <t xml:space="preserve">320303000 Reportes de avance de la formulación e implementación de los procesos de Ordenación y Manejo Cuencas </t>
  </si>
  <si>
    <t>Política Nacional para la Gestión Integral del Recurso Hídrico</t>
  </si>
  <si>
    <t>El agua, la biodiversidad y las personas, en el centro del ordenamiento territorial.</t>
  </si>
  <si>
    <t>P-2: Seguimiento, monitoreo, evaluación y mantenimiento en procesos de restauración</t>
  </si>
  <si>
    <t xml:space="preserve">A-2.1: Realizar seguimiento, monitoreo, evaluación  y mantenimiento a hectáreas restauradas en vigencias anteriores </t>
  </si>
  <si>
    <t>Porcentaje  áreas  restauradas priorizadas con seguimiento, monitoreo, evaluación y/o mantenimiento</t>
  </si>
  <si>
    <t xml:space="preserve">2024: 201 ha monitoreo de restauración activa (50% de las ha  establecidas en 2023), 300 mantenimiento (proyecto FCA) y 40 ha mantenimiento (convenio gobernación)
2025:282,5 ha monitoreo de restauración activa 
2026:150 ha monitoreo de restauración activa  y 200 mantenimiento 
2027:150 ha monitoreo de restauración activa </t>
  </si>
  <si>
    <t>L1.47.1</t>
  </si>
  <si>
    <t>Porcentaje de áreas de ecosistemas restauradas, rehabilitadas y/o recuperadas en mantenimiento.</t>
  </si>
  <si>
    <t>320200503 Áreas en proceso de restauración con seguimiento</t>
  </si>
  <si>
    <t>P-3: Ejecución de acciones para recuperación o  rehabilitación de suelos degradados</t>
  </si>
  <si>
    <t>A-3.1: Implementar acciones para recuperación o rehabilitación de suelos degradados</t>
  </si>
  <si>
    <r>
      <t xml:space="preserve">Porcentaje de suelos degradados en recuperación o rehabilitación </t>
    </r>
    <r>
      <rPr>
        <b/>
        <sz val="7"/>
        <rFont val="Arial"/>
        <family val="2"/>
      </rPr>
      <t>(IMG Res. 667/16)</t>
    </r>
  </si>
  <si>
    <t>Suelos degradados en rehabilitación</t>
  </si>
  <si>
    <t>2024 -2027: 16 ha (4 ha por año)</t>
  </si>
  <si>
    <t>L1.20.1</t>
  </si>
  <si>
    <t xml:space="preserve">Porcentaje de suelos degradados en recuperación o rehabilitación (IMG Res. 667/15) </t>
  </si>
  <si>
    <t>P-4: Implementación de incentivos a la conservación como estrategia para la reducción de la deforestación en áreas de interés ambiental y/o cumplimiento de sentencia de la amazonia</t>
  </si>
  <si>
    <t xml:space="preserve">A-4.1: Implementar incentivos a la conservación como estrategia para la reducción de la deforestación en áreas de interés ambiental y/o cumplimiento de sentencia del río Guáitara, Amazonia y acción popular la Cocha. </t>
  </si>
  <si>
    <t>Áreas de deforestación evitada</t>
  </si>
  <si>
    <t xml:space="preserve">Hectáreas </t>
  </si>
  <si>
    <t>2024 -2027: Por entrega de incentivos a la conservación  400 ha por año considerando familias y/o grupos étnicos y comunitarios  que realizan procesos de conservación en sus predios bajo diferentes estrategias;  de las cuales 5 ha/año en cumplimiento de la acción popular de La Cocha (10 incentivos ).
2024-2027: Por exoneración indirecta del impuesto predial 2.000 ha/año (150/ha/año en cumplimiento de la sentencia de la Amazonía)</t>
  </si>
  <si>
    <t>L1.4.1</t>
  </si>
  <si>
    <t>Porcentaje de familias priorizadas beneficiadas con alternativas productivas y/o incentivos a la conservación</t>
  </si>
  <si>
    <t>320200501 Áreas en proceso restauración aisladas</t>
  </si>
  <si>
    <t xml:space="preserve">AMAZONIA- 11001-22-03-000- 2018-00319-01
LA COCHA - 52-001-23-33-000-2017-00070-00
</t>
  </si>
  <si>
    <t>Deforestación nacional</t>
  </si>
  <si>
    <t>Zonificación y ordenación de las áreas forestales del departamento de Nariño</t>
  </si>
  <si>
    <t>P-5: Zonificación y ordenación de las áreas forestales del departamento de Nariño</t>
  </si>
  <si>
    <t>A-5.1: Formular el Plan de Ordenación Forestal  de una subzona hidrográfica de la costa pacífica del Departamento</t>
  </si>
  <si>
    <r>
      <t xml:space="preserve">Porcentaje de avance en la formulación del Plan de Ordenación Forestal </t>
    </r>
    <r>
      <rPr>
        <b/>
        <sz val="7"/>
        <color theme="1"/>
        <rFont val="Arial"/>
        <family val="2"/>
      </rPr>
      <t xml:space="preserve">(IMG Res.667/16) </t>
    </r>
  </si>
  <si>
    <t>Hectáreas forestales a ser ordenadas en el Plan de Ordenación Forestal en el cuatrienio</t>
  </si>
  <si>
    <t>5</t>
  </si>
  <si>
    <t>85</t>
  </si>
  <si>
    <t xml:space="preserve">Departamento de Nariño (3.326.800 ha), SZH del río Rosario (83.337 ha)=2,5% del área del Departamento
2024: Acercamiento con comunidades étnicas 
2025: Formulación  y gestión del proyecto del proyecto 
2026: Formulación del POF
2027: Adopción, publicación y  divulgación  del POF </t>
  </si>
  <si>
    <t>L1.1.1</t>
  </si>
  <si>
    <t>Porcentaje de avance en la formulación del Plan de Ordenación Forestal. (IMG Res.667)</t>
  </si>
  <si>
    <t>3204001 Documentos de investigación para la gestión de la información y el conocimiento ambiental</t>
  </si>
  <si>
    <t>320400104 Documentos de investigación sobre recursos forestales elaborados</t>
  </si>
  <si>
    <t>Ejecutar acciones correspondientes a la estrategia de Corresponsabilidad Social en la lucha contra Incendios Forestales</t>
  </si>
  <si>
    <t>P-6: Estrategia de Corresponsabilidad Social en la lucha contra incendios Forestales</t>
  </si>
  <si>
    <t>A-6.1: Ejecutar acciones en el marco de la corresponsabilidad a la luchas contra incendios</t>
  </si>
  <si>
    <t>Porcentaje de ejecución de las acciones priorizadas en cada vigencia</t>
  </si>
  <si>
    <t xml:space="preserve">Al menos 1 acción implementada por cada vigencia </t>
  </si>
  <si>
    <t>L1.7.1
L1.8.1</t>
  </si>
  <si>
    <t>Porcentaje de ejecución de las acciones priorizadas en cada vigencia.
Porcentaje de áreas forestales afectadas por incendios recuperadas y/o en proceso de recuperación</t>
  </si>
  <si>
    <t>3202057 Servicio de asistencia técnica</t>
  </si>
  <si>
    <t>320205700 Asistencias técnicas realizadas</t>
  </si>
  <si>
    <t>Proyecto 2.3: Gestión Integral de cuencas hidrográficas y desarrollo sostenible (Art. 216 Ley 1450/11 TUA)</t>
  </si>
  <si>
    <t>Implementar acciones de restauración y/o rehabilitación ecológica dirigidas a la recuperación de coberturas vegetales en zonas de recarga hídrica de las cuencas de los ríos Guáitara, Mayo y Juanambú</t>
  </si>
  <si>
    <t>P-1: Restauración ecológica en zonas  recarga hídrica</t>
  </si>
  <si>
    <t>A-1.1: Implementar acciones de restauración ecológica en zonas de recarga hídrica</t>
  </si>
  <si>
    <r>
      <t>Porcentaje de áreas de ecosistemas en restauración, rehabilitación y recuperación (</t>
    </r>
    <r>
      <rPr>
        <b/>
        <sz val="7"/>
        <rFont val="Arial"/>
        <family val="2"/>
      </rPr>
      <t>IMG Res.667/16</t>
    </r>
    <r>
      <rPr>
        <sz val="7"/>
        <rFont val="Arial"/>
        <family val="2"/>
      </rPr>
      <t>)</t>
    </r>
  </si>
  <si>
    <t xml:space="preserve">2024:50 Ha
2025:50 Ha
2026:50 Ha
2027:50 Ha
Total: 200 Ha
</t>
  </si>
  <si>
    <t xml:space="preserve">Proyecto 2.4: Gestión Integral de la biodiversidad y sus servicios ecosistémicos </t>
  </si>
  <si>
    <t>Generar conocimiento en el marco de los procesos de planificación y ordenamiento de los ecosistemas estratégicos del departamento de Nariño</t>
  </si>
  <si>
    <t>P-1: Planificación y ordenamiento de ecosistemas estratégicos en la jurisdicción de Corponariño</t>
  </si>
  <si>
    <t>A-1.1: Construir participativamente la Zonificación y Régimen de usos de los páramos, delimitados por el MADS.</t>
  </si>
  <si>
    <r>
      <t>Porcentaje de páramos delimitados por el MADS, con zonificación y régimen de usos adoptados por la CAR.</t>
    </r>
    <r>
      <rPr>
        <b/>
        <sz val="7"/>
        <rFont val="Arial"/>
        <family val="2"/>
      </rPr>
      <t xml:space="preserve"> (IMG Res.667/16)</t>
    </r>
  </si>
  <si>
    <t>No aplica</t>
  </si>
  <si>
    <t xml:space="preserve">Complejos de páramos Doña Juana Chimayoy y La Cocha Patascoy. Las metas físicas corresponde a los avances en los procesos de consulta previa para la validación de la zonificación, régimen de usos y plan de manejo de los dos complejos.
El reporte específico del indicador, se realizará al finalizar el cuatrienio o en vigencia anterior, dependiendo del proceso de consulta previa, es decir; 2 de los 4 complejos de páramos en la jurisdicción del Departamento 
</t>
  </si>
  <si>
    <t>3202001 Documentos de lineamientos técnicos para la conservación de la biodiversidad y sus servicios eco sistémicos</t>
  </si>
  <si>
    <t>320200103 Documentos con lineamientos técnicos de zonificación formulados</t>
  </si>
  <si>
    <t>CREMA-14) Gestión de recursos hídricos</t>
  </si>
  <si>
    <t>Contribuir al conocimiento, manejo y conservación de especies de flora y fauna amenazadas identificadas como (VOC) en los ecosistemas estratégicos del departamento de Nariño</t>
  </si>
  <si>
    <t>P-2: Conocimiento, conservación y manejo de especies - VOC, priorizadas</t>
  </si>
  <si>
    <t>A-2.1: Implementar acciones contempladas en los planes de conservación de las especies de flora y fauna amenazadas, catalogadas como especies VOC</t>
  </si>
  <si>
    <r>
      <t>Porcentaje de especies amenazadas con medidas de conservación y manejo en ejecución.</t>
    </r>
    <r>
      <rPr>
        <b/>
        <sz val="7"/>
        <rFont val="Arial"/>
        <family val="2"/>
      </rPr>
      <t xml:space="preserve"> (IMG Res.667/16)
</t>
    </r>
  </si>
  <si>
    <t>Especies de flora amenazadas continentales</t>
  </si>
  <si>
    <t>2024: Oso andino, Frailejón
2025: Oso andino, Frailejón, lobo colorado
2026: Oso Andino, Frailejón, Palo de Olloco, Tucán
2027: Oso andino,  Frailejón, Tucán y Lobo Colorado</t>
  </si>
  <si>
    <t xml:space="preserve">L1.32.3
</t>
  </si>
  <si>
    <t xml:space="preserve">Formulados planes de conservación de especies endémicas priorizadas en peligro crítico
</t>
  </si>
  <si>
    <t>15.5.2 P</t>
  </si>
  <si>
    <t>Proporción de especies amenazadas</t>
  </si>
  <si>
    <t>Promover y fortalecer la capacidad de gestión y articulación interinstitucional para la generación de conocimiento y consolidar procesos de conservación regional.</t>
  </si>
  <si>
    <t>P-3: Gestión y articulación para la generación de conocimiento y consolidación de procesos de conservación</t>
  </si>
  <si>
    <t>A-3.1: Adelantar acciones para la declaratoria de una área protegida en la zona andino amazónica</t>
  </si>
  <si>
    <t xml:space="preserve">Porcentaje de acciones planificadas en el desarrollo del proceso de declaratoria del área protegida ejecutadas  </t>
  </si>
  <si>
    <t>Cerro Negro San Francisco
100% de las acciones programadas en cada vigencia , en el marco del proceso de declaratoria del PNR cerro Negro San Francisco</t>
  </si>
  <si>
    <t>L1.28.1</t>
  </si>
  <si>
    <t>Porcentaje del territorio nariñense con áreas en conservación constituidas</t>
  </si>
  <si>
    <t>11.4.1 C</t>
  </si>
  <si>
    <t>Miles de hectáreas de áreas protegidas</t>
  </si>
  <si>
    <t>3202018 Servicio declaración de áreas protegidas</t>
  </si>
  <si>
    <t xml:space="preserve">320201800 Nuevas áreas declaradas protegidas </t>
  </si>
  <si>
    <t xml:space="preserve">A-3.2: Adelantar el proceso aprobación y adopción del acto administrativo de la  declaratoria del área protegida </t>
  </si>
  <si>
    <t>Porcentaje de la superficie de áreas protegidas regionales declaradas, homologadas o recategorizadas, inscritas en el RUNAP (IMG Res 667/16)</t>
  </si>
  <si>
    <t>Áreas Protegidas continentales</t>
  </si>
  <si>
    <t>Reserva Forestal Protectora Nacional  La Planada  - 3759,5 ha</t>
  </si>
  <si>
    <t>Realizar los Estudios técnicos para la conservación de los recursos naturales, en áreas estratégicas</t>
  </si>
  <si>
    <t>P-4: Identificación de áreas estratégicas para la conservación de los Recursos Naturales</t>
  </si>
  <si>
    <t>A-4.1: Avanzar en la consolidación y validación de la propuesta técnica para la conservación de áreas estratégicas en  municipios del departamento de Nariño</t>
  </si>
  <si>
    <t>Áreas estratégicas para la conservación de los recursos naturales identificadas, priorizadas y elaborado mapa de prioridades (ley 2320 de agosto 29 de 2023)</t>
  </si>
  <si>
    <t xml:space="preserve">Municipios priorizados en cada vigencia. 
</t>
  </si>
  <si>
    <t>L1.33.4</t>
  </si>
  <si>
    <t>Formulados planes de cofinanciación en municipios para la compra de predios o para la implementación de esquemas de pago por servicios ecosistémicos u otros incentivos económicos para la conservación</t>
  </si>
  <si>
    <t>3202009 Cartografía de las áreas protegidas</t>
  </si>
  <si>
    <t xml:space="preserve">320200900 Mapas elaborados </t>
  </si>
  <si>
    <t>Ejercer la administración y gestión de las áreas en conservación en jurisdicción de CORPONARIÑO</t>
  </si>
  <si>
    <t>P-5: Fortalecimiento de los procesos de gestión y administración de áreas en conservación y en proceso de declaratoria de competencia de CORPONARIÑO (Regionales y Nacionales)</t>
  </si>
  <si>
    <t>A-5.1: Fortalecer los procesos de administración y gestión de las reservas forestales protectoras nacionales</t>
  </si>
  <si>
    <t>Número de RFPN declaradas en jurisdicción de la Corporación con ejecución de acciones de administración y gestión</t>
  </si>
  <si>
    <t>2024: RFPN río Bobo Buesaquillo y la Cocha Pastascoy
2025 - 2027: RFPN río Bobo Buesaquillo,  la Cocha Patascoy y la Planada</t>
  </si>
  <si>
    <t>3202008 Servicio de administración y manejo de áreas protegidas</t>
  </si>
  <si>
    <t xml:space="preserve">320200800 Áreas administradas </t>
  </si>
  <si>
    <t xml:space="preserve">A-5.2: Administrar y gestionar las áreas protegidas Regionales y en Proceso de declaratoria           </t>
  </si>
  <si>
    <r>
      <t xml:space="preserve">Porcentaje de áreas Protegidas con planes de manejo en ejecución </t>
    </r>
    <r>
      <rPr>
        <b/>
        <sz val="7"/>
        <rFont val="Arial"/>
        <family val="2"/>
      </rPr>
      <t xml:space="preserve">(IMG 667/2016) </t>
    </r>
  </si>
  <si>
    <t>Continentales</t>
  </si>
  <si>
    <t>2024: 2 áreas protegidas declaradas y con planes de manejo (Azufral y paja blanca)
2025: 3 áreas protegidas declaradas y con planes de manejo (Azufral, paja blanca y Subxerofítico)
2026 - 2027: 4 áreas protegidas declaradas y con planes de manejo (Azufral, paja blanca,  Subxerofítico y Ovejas Tauso)</t>
  </si>
  <si>
    <t>15.1.1 P</t>
  </si>
  <si>
    <t>Conservar y disminuir la presión sobre los ecosistemas estratégicos y áreas de importancia ambiental</t>
  </si>
  <si>
    <t>P-6: Implementación de acciones de conservación y de uso sostenibles priorizadas en los ecosistemas estratégicos (Humedales, páramos manglares y bosque seco), áreas de importancia ambiental y zonas con función amortiguadora.</t>
  </si>
  <si>
    <t>A-6.1: Beneficiar a familias con estrategias sostenibles de conservación</t>
  </si>
  <si>
    <t>2024: 1924 familias- Convenio Gobernación de Nariño
2025 -2027: 300 familias (100 familias cada  año)
Familias priorizadas  de acuerdo a criterios de selección  en  áreas protegidas y zonas con función amortiguadora , para cada periodo</t>
  </si>
  <si>
    <t>L1.48.1
L1.4.1</t>
  </si>
  <si>
    <t>Porcentaje de áreas de deforestación evitada, a partir de incentivos a la conservación
Porcentaje de familias priorizadas beneficiadas con alternativas productivas y/o incentivos a la conservación</t>
  </si>
  <si>
    <t>Áreas bajo esquemas de Pagos por Servicios Ambientales (PSA) e incentivos a la conservación</t>
  </si>
  <si>
    <t>A-6.2: Usuarios del manglar participando de una estrategia de sostenibilidad</t>
  </si>
  <si>
    <t xml:space="preserve">Número de usuarios de manglar participando de una estrategia de sostenibilidad </t>
  </si>
  <si>
    <t>Política nacional ambiental para el desarrollo sostenible de los espacios oceánicos y las zonas costeras e insulares de Colombia</t>
  </si>
  <si>
    <t>A-6.3: Implementar acciones de conservación en ecosistemas estratégicos</t>
  </si>
  <si>
    <t>Porcentaje de áreas de ecosistemas en restauración, rehabilitación y recuperación (Res.667/16)</t>
  </si>
  <si>
    <t>2024 - 2027: 60 ha (15 ha cada año)</t>
  </si>
  <si>
    <t>A-6.4: Formular el estudio de capacidad de carga del Lago Guamuez  mediante gestión y articulación con actores competentes</t>
  </si>
  <si>
    <t xml:space="preserve">Estudio de capacidad de carga formulado </t>
  </si>
  <si>
    <t>3202037 Servicio de recuperación de cuerpos de agua lénticos y lóticos</t>
  </si>
  <si>
    <t xml:space="preserve">320203700 Extensión de cuerpos de agua recuperados </t>
  </si>
  <si>
    <t>Política Nacional para Humedales Interiores de Colombia</t>
  </si>
  <si>
    <t xml:space="preserve">A-6.5: Formular el plan de manejo del Humedal Ciénaga Larga del municipio de Aldana </t>
  </si>
  <si>
    <t xml:space="preserve">Porcentaje de acciones implementadas </t>
  </si>
  <si>
    <t>Meta sujeta a la gestión y liderazgo del municipio de Aldana para articulación necesaria con comunidades campesinas e indígenas</t>
  </si>
  <si>
    <t>3202002 Documentos de planeación para la conservación de la biodiversidad y sus servicios eco sistémicos</t>
  </si>
  <si>
    <t xml:space="preserve">320200200 Documentos de planeación realizados </t>
  </si>
  <si>
    <t>Participar y jalonar procesos de articulación y gestión en torno a la conservación de la Biodiversidad y sus Servicios Ecosistémicos</t>
  </si>
  <si>
    <t>P-7: Dinamización de los procesos de articulación y gestión en torno a la conservación de la Biodiversidad y sus Servicios Ecosistémicos</t>
  </si>
  <si>
    <t>A-7.1: Fortalecer  instancias de participación institucionales y comunitarias (SIRAP Macizo, SIRAP Pacífico, CTB, Mesas Subregionales de Biodiversidad)</t>
  </si>
  <si>
    <t>Número de procesos articuladores de conservación fortalecidos</t>
  </si>
  <si>
    <t>2024- 2027 SIRAP MACIZO, SIRAP PACIFICO, SIDAP NARIÑO Y ZONAS CON FUNCIÓN AMORTIGUADORA (GALERAS Y DOÑA JUANA)</t>
  </si>
  <si>
    <t>L5.112.1</t>
  </si>
  <si>
    <t xml:space="preserve">Número de procesos  articuladores de conservación fortalecidos </t>
  </si>
  <si>
    <t>Contribuir con el rescate del conocimiento ancestral y tradicional en los procesos conservación y manejo de ecosistemas estratégicos</t>
  </si>
  <si>
    <t>P-8: Recuperación del conocimiento ancestral y tradicional para la conservación y producción</t>
  </si>
  <si>
    <t>A-8.1: Recuperar el conocimiento ancestral y tradicional para la conservación y producción</t>
  </si>
  <si>
    <t>Número de ejercicios de recuperación del conocimiento ancestral y tradicional para la conservación y producción sostenible implementados</t>
  </si>
  <si>
    <t>2024 - 2027: 1 con comunidades indígenas y 1 con comunidades negras en cada vigencia)</t>
  </si>
  <si>
    <t>L3.72.1
L3.72.2</t>
  </si>
  <si>
    <t>Ejercicios de recuperación del conocimiento ancestral y tradicional para la conservación y producción sostenible implementados
Ejercicios de recuperación del conocimiento ancestral y tradicional para la conservación y producción sostenible en fortalecimiento</t>
  </si>
  <si>
    <t>CAPA-9) Otras actividades de protección del medio ambiente</t>
  </si>
  <si>
    <t>Propiciar articulación interinstitucional y comunitaria para implementación de alternativas de aprovechamiento de potencialidades de la biodiversidad y sus servicios ecosistémicos</t>
  </si>
  <si>
    <t>P-9: Implementación de alternativas de emprendimiento comunitario a partir del aprovechamiento adecuado y conservación de la biodiversidad y sus servicios ecosistémicos</t>
  </si>
  <si>
    <t>A-9.1: Adelantar un proceso de concertación para realizar turismo de naturaleza en articulación con diferentes actores institucionales y comunitarios</t>
  </si>
  <si>
    <t>Número de alternativas de emprendimiento comunitario e interinstitucional apoyadas en su gestión e implementación</t>
  </si>
  <si>
    <t xml:space="preserve">320401200 Emprendimientos apoyados </t>
  </si>
  <si>
    <t>Proyecto 2.4: Gestión Integral de la biodiversidad y sus servicios ecosistémicos - Transferencias del sector eléctrico</t>
  </si>
  <si>
    <t>Implementar acciones  de conservación recuperación o monitoreo de los recursos naturales</t>
  </si>
  <si>
    <t>P-1. Acciones de conservación con recursos del sector eléctrico</t>
  </si>
  <si>
    <t>A-1.1: Realizar acciones de conservación de los recursos naturales con recursos del sector eléctrico</t>
  </si>
  <si>
    <t xml:space="preserve">2024-2027: 80 ha (20 ha cada año) </t>
  </si>
  <si>
    <t>Proyecto 2.5: Gestión de la autoridad ambiental proceso ordenación y manejo de los recursos naturales</t>
  </si>
  <si>
    <t>Fortalecer la ejecución de los procesos de planificación, ordenación, manejo y fomento a la conservación de los recursos naturales</t>
  </si>
  <si>
    <t xml:space="preserve">P-1 Seguimiento a proyectos de inversión financiados con fuentes externas </t>
  </si>
  <si>
    <t xml:space="preserve">A-1.1: Realizar visitas de seguimiento a proyectos de inversión financiados con fuentes externas </t>
  </si>
  <si>
    <t xml:space="preserve">Número de proyectos de inversión financiados con fuentes externas con seguimiento </t>
  </si>
  <si>
    <t xml:space="preserve">2024 - 2027: 100% de los proyectos con fuentes externas en ejecución. 
2024: FCA (restauración), regalías (cambio climático restauración), regalías (Manglar), regalías (restauración), Gobernación regalías (PSA)
</t>
  </si>
  <si>
    <t>P-2: Atención a procesos judiciales de restitución de tierras</t>
  </si>
  <si>
    <t xml:space="preserve">A- 2.1: Brindar asistencia técnica procesos judiciales de restitución de tierras </t>
  </si>
  <si>
    <t>Porcentaje de solicitudes de requerimientos de restitución de tierras atendidas</t>
  </si>
  <si>
    <t>Atención del 100% de requerimientos</t>
  </si>
  <si>
    <t>Tenencia de la tierra en las zonas rural, urbana y suburbana formalizada, adjudicada y regularizada.</t>
  </si>
  <si>
    <t xml:space="preserve">Programa 3 Gestión integral del recurso hídrico </t>
  </si>
  <si>
    <t>Proyecto 3.1: Planificación y ordenamiento de cuencas hidrográficas</t>
  </si>
  <si>
    <t>3203 Gestión integral del recurso hídrico</t>
  </si>
  <si>
    <t>Contar con los instrumentos de planificación y ordenamiento ambiental, con base en parámetros técnicos y científicos establecidos en la normatividad actual</t>
  </si>
  <si>
    <t>P-1:  Ordenación y Manejo de Cuencas Hidrográficas</t>
  </si>
  <si>
    <t xml:space="preserve">A-1.1: Formular  los Planes de  ordenación y Manejo de Cuencas Hidrográficas </t>
  </si>
  <si>
    <r>
      <t xml:space="preserve">Porcentaje de avance en la  formulación y/o ajuste de los Planes de ordenación y Manejo de Cuencas (POMCAS) </t>
    </r>
    <r>
      <rPr>
        <b/>
        <sz val="7"/>
        <color theme="1"/>
        <rFont val="Arial"/>
        <family val="2"/>
      </rPr>
      <t>(IMG Res.667/16)</t>
    </r>
  </si>
  <si>
    <t>Porcentaje promedio de avance en la formulación de los POMCA en el tiempo t</t>
  </si>
  <si>
    <t>2024-2025: terminación procesos de ordenación SZH del río Guiza Alto Mira y  SZH del río Mira
2026- 2027: Cuenca alta del río Patía</t>
  </si>
  <si>
    <t>L1.42.1</t>
  </si>
  <si>
    <t>Porcentaje de avance en la formulación y/o ajuste de los Planes de Ordenación y Manejo de Cuencas (POMCA). (IMG Res. 667/16).</t>
  </si>
  <si>
    <t>6.5.1 C</t>
  </si>
  <si>
    <t>Planes de Ordenación y Manejo de Cuencas Hidrográficas (POMCA) formulados en el territorio nacional</t>
  </si>
  <si>
    <t>3203002 Documentos de planeación para la gestión integral del recurso hídrico</t>
  </si>
  <si>
    <t>320300207 Documentos de planeación del plan de ordenación y manejo ambiental de cuenca hidrográfica elaborados</t>
  </si>
  <si>
    <t>P-2: Formulación del Estudio de acotamiento de Rondas Hídrica</t>
  </si>
  <si>
    <t xml:space="preserve">A-2.1: Formular el estudio de acotamiento de Rondas Hídricas </t>
  </si>
  <si>
    <t>Acotamiento de las rondas hídricas priorizadas en el departamento de Nariño (Res. 957/2018)</t>
  </si>
  <si>
    <t>Estudio</t>
  </si>
  <si>
    <t xml:space="preserve">2024: Q. Guachucal 
2025: Q. Membrillo Guaico
2026: Q. Peñas Blancas
2027: Q. San Bernardo </t>
  </si>
  <si>
    <t>3203044 Servicio de delimitación de rondas hídricas.</t>
  </si>
  <si>
    <t>320304400 Rondas hídricas delimitadas.</t>
  </si>
  <si>
    <t>Proyecto 3.2: Implementación de acciones de planificación, descontaminación y seguimiento en curso de aguas superficiales priorizados (Tasa de Retributiva)</t>
  </si>
  <si>
    <t>Formular planes de Ordenamiento del Recurso Hídrico con base en los lineamientos técnicos vigentes.</t>
  </si>
  <si>
    <t>P-1: Formulación de los Planes de Ordenamiento del Recurso Hídrico con base en los lineamientos técnicos vigentes</t>
  </si>
  <si>
    <t>A-1.1: Priorización de fuentes que requiera Formulación del PORH y ejecución de acciones previas al ordenamiento.</t>
  </si>
  <si>
    <t>Documento de priorización de PORH, elaborado. (Documento de priorización de la fuente a ordenar y acciones previas al ordenamiento)</t>
  </si>
  <si>
    <t>320300200 Documentos de planeación realizados</t>
  </si>
  <si>
    <t>A-1.2: Formulación del Plan de Ordenamiento del Recurso Hídrico</t>
  </si>
  <si>
    <r>
      <t xml:space="preserve">Porcentaje de cuerpos de agua con planes de ordenamiento del recurso hídrico (PORH) adoptados </t>
    </r>
    <r>
      <rPr>
        <b/>
        <sz val="7"/>
        <color theme="1"/>
        <rFont val="Arial"/>
        <family val="2"/>
      </rPr>
      <t>(IMG Res.667/16)</t>
    </r>
  </si>
  <si>
    <r>
      <rPr>
        <sz val="7"/>
        <color theme="1"/>
        <rFont val="Arial"/>
        <family val="2"/>
      </rPr>
      <t>2024 - 2027: 4 PORH adoptados.</t>
    </r>
    <r>
      <rPr>
        <sz val="7"/>
        <color rgb="FFFF0000"/>
        <rFont val="Arial"/>
        <family val="2"/>
      </rPr>
      <t xml:space="preserve">
</t>
    </r>
  </si>
  <si>
    <t>320300214 Cuerpos de agua con plan de ordenamiento del recurso hídrico formulados</t>
  </si>
  <si>
    <t>A-1.3: Elaborar  o actualizar  objetivos de calidad del agua de una fuentes hídricas priorizadas con PORH</t>
  </si>
  <si>
    <t>Documento de objetivos de calidad del agua de las fuentes hídricas priorizadas</t>
  </si>
  <si>
    <t>3203005 Documentos de estudios técnicos regionales sobre recurso hídrico</t>
  </si>
  <si>
    <t>320300501 Documentos de estudios técnicos con determinación de objetivos de calidad para cuerpos de agua adoptados</t>
  </si>
  <si>
    <t>A-1.4: Reportar Información en la plataforma SIRH</t>
  </si>
  <si>
    <t>Porcentaje de información reportada al SIRH</t>
  </si>
  <si>
    <t>3203035 Servicio de implementación de mecanismos y herramientas de conocimiento y manejo de la información para la Gestión Integral del Recurso Hídrico</t>
  </si>
  <si>
    <t>320303500 Datos cargados en el sistema de información del recurso hídrico por las Autoridades Ambientales</t>
  </si>
  <si>
    <t>Reglamentar corrientes hídricas por vertimientos con base en los lineamientos técnicos vigentes</t>
  </si>
  <si>
    <t>P-2: Reglamentación de corrientes  priorizadas con PORH</t>
  </si>
  <si>
    <t>A-2.1: Reglamentar corrientes priorizadas con PORH</t>
  </si>
  <si>
    <r>
      <t xml:space="preserve">Porcentaje de cuerpos de agua con reglamentación del uso de las aguas </t>
    </r>
    <r>
      <rPr>
        <b/>
        <sz val="7"/>
        <color theme="1"/>
        <rFont val="Arial"/>
        <family val="2"/>
      </rPr>
      <t>(IMG Res.667/17)</t>
    </r>
  </si>
  <si>
    <t>Una corriente por año</t>
  </si>
  <si>
    <t xml:space="preserve">320300502 Documentos de estudios técnicos  con determinación de metas de reducción de carga contaminante para cuerpos de agua publicados </t>
  </si>
  <si>
    <t>Realizar el monitoreo de fuentes hídricas priorizadas.</t>
  </si>
  <si>
    <t>P-3: Monitoreo de fuentes hídricas priorizadas</t>
  </si>
  <si>
    <t>A-3.1: Elaboración del documento del estado de la calidad del agua en áreas de drenaje priorizadas de la zona continental</t>
  </si>
  <si>
    <t>Documento del estado de la calidad del recurso hídrico en la zona continental</t>
  </si>
  <si>
    <t>3203009 Servicio de caracterización de la calidad del agua</t>
  </si>
  <si>
    <t>320300900 Documento con análisis de la calidad del recurso hídrico</t>
  </si>
  <si>
    <t xml:space="preserve">TELEMBÍ - 032 </t>
  </si>
  <si>
    <t>Realizar la cofinanciación a la ejecución de proyectos de preinversión y/o inversión en descontaminación hídrica de fuentes priorizadas.</t>
  </si>
  <si>
    <t>P-4: Cofinanciación y seguimiento a la ejecución de proyectos de preinversión y/o inversión en descontaminación hídrica de fuentes priorizadas</t>
  </si>
  <si>
    <t>A-4.1: Ejecución de proyectos priorizados de inversión y pre inversión en descontaminación de recurso hídrico con viabilidad técnica y financiera cofinanciados con recursos de tasa retributiva</t>
  </si>
  <si>
    <t>Porcentaje de proyectos de inversión y pre inversión en descontaminación hídrica con viabilidad técnica y financiera cofinanciados  parcialmente con recursos de tas retributiva</t>
  </si>
  <si>
    <t>2024: Municipio de Córdoba
2025: Municipio de Puerres
2026 - 2027: Municipio Pasto (Encano) y Municipio de Cumbal (Estudios y diseños PTAR Río Blanco)</t>
  </si>
  <si>
    <t>GUÁITARA - 52001-23-33-2017-0639-00</t>
  </si>
  <si>
    <t>A-4.2: Seguimiento a la ejecución de proyectos de descontaminación priorizados por la Corporación</t>
  </si>
  <si>
    <t>Porcentaje de seguimiento a la ejecución de proyectos de descontaminación en el marco de los PORH adoptados y/o proyectos priorizados por la Corporación</t>
  </si>
  <si>
    <t>3203045 Servicio de seguimiento y control a usuarios del recurso hídrico.</t>
  </si>
  <si>
    <t>320304501 Visitas de seguimiento y control realizadas</t>
  </si>
  <si>
    <t>Proyecto 3.3: Administración, monitoreo y seguimiento del uso y aprovechamiento del recurso hídrico (Incluye recursos TUA)</t>
  </si>
  <si>
    <t>Fortalecer el control ambiental sobre las actividades legales e ilegales en el aprovechamiento del recurso hídrico</t>
  </si>
  <si>
    <t>P-1: Fortalecimiento del procedimiento concesión de aguas superficiales y subterráneas, ocupación de cauce y PUEAA en alineación con la implementación del programa TUA</t>
  </si>
  <si>
    <t xml:space="preserve">A-1.1: Realizar seguimiento y control a programas de uso eficiente del agua (PUEAA) aprobados </t>
  </si>
  <si>
    <r>
      <t>Porcentaje de Programas de Uso Eficiente y Ahorro del Agua (PUEAA) con seguimiento</t>
    </r>
    <r>
      <rPr>
        <b/>
        <sz val="7"/>
        <rFont val="Arial"/>
        <family val="2"/>
      </rPr>
      <t xml:space="preserve"> (IMG Res.667/16 ).</t>
    </r>
    <r>
      <rPr>
        <sz val="7"/>
        <rFont val="Arial"/>
        <family val="2"/>
      </rPr>
      <t xml:space="preserve">
</t>
    </r>
  </si>
  <si>
    <t>2024: 100 PUEAA (63% de 160  PUEAA susceptibles de monitoreo)
2025 - 2027: 63% de los PUEAA susceptibles de monitoreo en cada vigencia</t>
  </si>
  <si>
    <t>L1.55.1
L1.55.2</t>
  </si>
  <si>
    <t>Porcentaje de Programas de Uso Eficiente y Ahorro del Agua (PUEAA) con seguimiento (IMG Res.667/16). (cabeceras municipales)
Porcentaje de avance en la ejecución de los PUEAA.</t>
  </si>
  <si>
    <t>GUÁITARA - 52001-23-33-2017-0639-00
LA COCHA - 52-001-23-33-000-2017-00070-00</t>
  </si>
  <si>
    <t>A-1.2: Adelantar el seguimiento a concesiones de agua  vigentes</t>
  </si>
  <si>
    <r>
      <t xml:space="preserve">Porcentaje de autorizaciones ambientales con seguimiento (Concesiones de agua) </t>
    </r>
    <r>
      <rPr>
        <b/>
        <sz val="7"/>
        <rFont val="Arial"/>
        <family val="2"/>
      </rPr>
      <t>(IMG Res.667/16).</t>
    </r>
    <r>
      <rPr>
        <sz val="7"/>
        <rFont val="Arial"/>
        <family val="2"/>
      </rPr>
      <t xml:space="preserve">
</t>
    </r>
  </si>
  <si>
    <t>Seguimiento concesiones de agua</t>
  </si>
  <si>
    <t>5.675  Usuarios objeto de cobro ( el 10.5% corresponde a 600 usuarios legales en cada vigencia)
2024 - 2027: 2.400 (600 por cada año)
100% de visitas de control y monitoreo a  permisos de ocupación de cauce (jaulas flotantes) legales en el marco de la sentencia de acción popular de acción popular la cocha</t>
  </si>
  <si>
    <t xml:space="preserve">A-1.3: Atender solicitudes de usuarios legales e ilegales del recurso hídrico.
</t>
  </si>
  <si>
    <r>
      <t xml:space="preserve">
Tiempo promedio de trámite para la resolución de autorizaciones ambientales (Concesión-días) otorgadas por la corporación</t>
    </r>
    <r>
      <rPr>
        <b/>
        <sz val="7"/>
        <color theme="1"/>
        <rFont val="Arial"/>
        <family val="2"/>
      </rPr>
      <t xml:space="preserve"> (IMG RES. 667/16)</t>
    </r>
  </si>
  <si>
    <t>Concesiones de agua</t>
  </si>
  <si>
    <t>3201027 Servicio de permisos y trámites ambientales</t>
  </si>
  <si>
    <t>320102700 Permisos y trámites ambientales otorgados</t>
  </si>
  <si>
    <t>A-1.4: Fortalecer el componente de tasa por uso del agua</t>
  </si>
  <si>
    <t>Porcentaje de usuarios atendidos oportunamente</t>
  </si>
  <si>
    <t xml:space="preserve">Consolida anualmente el No. de solicitudes radicadas, aperturadas y tramitadas con resolución </t>
  </si>
  <si>
    <t xml:space="preserve">320304500 Usuarios del recurso hídrico registados </t>
  </si>
  <si>
    <t>Proyecto 3.4: Administración y seguimiento a los procedimientos de permiso de vertimientos, tasas retributivas y planes de saneamiento y manejo de vertimientos (Recursos TR+RAE)</t>
  </si>
  <si>
    <t>Contribuir a la disminución de la contaminación de corrientes hídricas por vertimientos puntuales.</t>
  </si>
  <si>
    <t>P-1: Monitoreo de la calidad del recurso hídrico y seguimiento a usuarios generadores de vertimientos</t>
  </si>
  <si>
    <t xml:space="preserve">A-1.1: Realizar seguimiento a los Planes de Saneamiento y Manejo de Vertimientos
</t>
  </si>
  <si>
    <r>
      <t xml:space="preserve">Porcentaje de  Planes de  saneamiento y Manejo de Vertimientos PSMV con  seguimiento </t>
    </r>
    <r>
      <rPr>
        <b/>
        <sz val="7"/>
        <rFont val="Arial"/>
        <family val="2"/>
      </rPr>
      <t>(IMG Res.667/16)</t>
    </r>
    <r>
      <rPr>
        <sz val="7"/>
        <rFont val="Arial"/>
        <family val="2"/>
      </rPr>
      <t xml:space="preserve">
</t>
    </r>
  </si>
  <si>
    <t xml:space="preserve">2024 -2027: 100% de los PSMV planificados en cada vigencia (referente 2024 PSMV aprobados 39)
2024: Solicitud de formulación, ajustes o actualización de PSMV de los 33 municipios de la cuenca del río Guáitara, en cumplimiento a la sentencia del río Guáitara  y acción popular de la cocha
</t>
  </si>
  <si>
    <t>L1.50.1
L1.51.1</t>
  </si>
  <si>
    <t>Porcentaje de Planes de Saneamiento y Manejo de Vertimientos (PSMV) con seguimiento
Porcentaje de avance en la ejecución de PSMV.</t>
  </si>
  <si>
    <t>CAPA-2) Gestión de Aguas residuales</t>
  </si>
  <si>
    <t>A-1.2: Realizar la evaluación de los planes de saneamiento y manejo de Vertimientos</t>
  </si>
  <si>
    <r>
      <t xml:space="preserve">Tiempo promedio de trámite para la resolución de autorizaciones ambientales otorgadas por la Corporación (PSMV) </t>
    </r>
    <r>
      <rPr>
        <b/>
        <sz val="7"/>
        <rFont val="Arial"/>
        <family val="2"/>
      </rPr>
      <t>(IMG Res 667/16)</t>
    </r>
  </si>
  <si>
    <t>Permisos de vertimiento</t>
  </si>
  <si>
    <t xml:space="preserve"> </t>
  </si>
  <si>
    <t>A-1.3: Realizar el seguimiento de los proyectos que cuentan con el permios de vertimientos.</t>
  </si>
  <si>
    <r>
      <t>Porcentaje de autorizaciones ambientales con seguimiento (Permisos de vertimientos)</t>
    </r>
    <r>
      <rPr>
        <b/>
        <sz val="7"/>
        <color theme="1" tint="4.9989318521683403E-2"/>
        <rFont val="Arial"/>
        <family val="2"/>
      </rPr>
      <t xml:space="preserve"> (IMG Res.667/16)</t>
    </r>
    <r>
      <rPr>
        <sz val="7"/>
        <color theme="1" tint="4.9989318521683403E-2"/>
        <rFont val="Arial"/>
        <family val="2"/>
      </rPr>
      <t xml:space="preserve">
</t>
    </r>
  </si>
  <si>
    <t>Seguimiento Permiso de vertimientos y PSMV</t>
  </si>
  <si>
    <t>1572 PV vigentes a 2023
2024 -2027: 1.200 PV ( 300 PV priorizados  para cada año)
100% de visitas de control y monitoreo a permisos de vertimientos y legales en el marco de la sentencia de acción popular de acción popular la cocha</t>
  </si>
  <si>
    <t xml:space="preserve">A-1.4: Realizar el trámite de las solicitudes de permisos de vertimientos
</t>
  </si>
  <si>
    <r>
      <t xml:space="preserve">Tiempo promedio de trámite para la resolución de autorizaciones ambientales otorgadas por la Corporación (permiso de vertimientos) </t>
    </r>
    <r>
      <rPr>
        <b/>
        <sz val="7"/>
        <rFont val="Arial"/>
        <family val="2"/>
      </rPr>
      <t>(IMG Res. 667/16)</t>
    </r>
  </si>
  <si>
    <t xml:space="preserve">Indicador descendente, máximo 68 días para ser eficiente </t>
  </si>
  <si>
    <t>A-1.5: Reportar las acciones relacionadas con la gestión ambiental urbana y el Sistema de Información ambiental de Colombia - SIAC</t>
  </si>
  <si>
    <r>
      <t xml:space="preserve">Porcentaje de actualización y reporte de la información en el SIAC </t>
    </r>
    <r>
      <rPr>
        <b/>
        <sz val="7"/>
        <rFont val="Arial"/>
        <family val="2"/>
      </rPr>
      <t>(IMG Res. 667 /16)</t>
    </r>
    <r>
      <rPr>
        <sz val="7"/>
        <rFont val="Arial"/>
        <family val="2"/>
      </rPr>
      <t xml:space="preserve">
</t>
    </r>
  </si>
  <si>
    <t>SIRH- Sistema de Información del Recurso Hídrico</t>
  </si>
  <si>
    <t xml:space="preserve">Plataforma IDEAM: RESPEL, RUA, SNIF y SIRH
No incluye SISAIRE dado que no existen estaciones de monitoreo de calidad del aire. </t>
  </si>
  <si>
    <r>
      <t xml:space="preserve">Porcentaje de ejecución de acciones en gestión ambiental urbana </t>
    </r>
    <r>
      <rPr>
        <b/>
        <sz val="7"/>
        <rFont val="Arial"/>
        <family val="2"/>
      </rPr>
      <t>(IMG Res. 667 /16)</t>
    </r>
  </si>
  <si>
    <t>Participación Ambiental en gestión ambiental urbana</t>
  </si>
  <si>
    <t>Reporte de 3 Municipios: Pasto, Ipiales, Tumaco</t>
  </si>
  <si>
    <t>A-1.6: Realizar el seguimiento a los usuarios generadores de vertimientos incluidos en el Acuerdo de metas de carga de contaminantes.</t>
  </si>
  <si>
    <t xml:space="preserve">Porcentaje de usuarios generadores de vertimientos con seguimiento </t>
  </si>
  <si>
    <t>2024: 529 Usuarios generadores incluidos en el acuerdo de cargas contaminantes (activos)
2025 - 2027:100% de los usuarios usuarios generadores incluidos en el acuerdo de cargas contaminantes (activos)</t>
  </si>
  <si>
    <t>Programa 5. Ordenamiento ambiental territorial</t>
  </si>
  <si>
    <t>Proyecto 5.1: Asesoría, evaluación y seguimiento de asuntos ambientales en los procesos de planeación y ordenamiento de los entes territoriales</t>
  </si>
  <si>
    <t>3205 Ordenamiento ambiental territorial</t>
  </si>
  <si>
    <t>Contribuir con la inserción adecuada de la dimensión ambiental en los procesos de ordenamiento ambiental, a través del acompañamiento, capacitación, evaluación, concertación y seguimiento de asuntos ambientales a entes territoriales, así como en la verificación de la armonía ambiental de los planes de desarrollo, con base en la aplicación de las determinantes ambientales establecidas por CORPONARIÑO, en el marco del desarrollo sostenible.</t>
  </si>
  <si>
    <t xml:space="preserve">P-1: Capacitación, evaluación, concertación y seguimiento de asuntos ambientales en los proceso de planificación y
ordenamiento territorial </t>
  </si>
  <si>
    <t>A-1.1: Realizar acompañamiento y capacitación a los municipios en la adecuada incorporación de la  dimensión ambiental en los procesos de planificación y ordenamiento territorial</t>
  </si>
  <si>
    <r>
      <t>Porcentaje de municipios asesorados o asistidos en la inclusión del componente ambiental en los procesos de planificación y ordenamiento territorial, con énfasis en la incorporación de las determinantes ambientales para la revisión y ajuste de los POT</t>
    </r>
    <r>
      <rPr>
        <b/>
        <sz val="7"/>
        <rFont val="Arial"/>
        <family val="2"/>
      </rPr>
      <t>.(IMG Res.667/16)</t>
    </r>
  </si>
  <si>
    <t>Capacitar a los municipios y distritos en lo relacionado con el proceso de concertación de los asuntos exclusivamente ambientales de los POT</t>
  </si>
  <si>
    <t>2024 - 2027: 64 municipios (16 municipios cada año); incluye la revisión en la dimensión ambiental de planes de desarrollo para el primer semestre del 2024</t>
  </si>
  <si>
    <t>L1.17.2
L1.19.1
L1.17.5</t>
  </si>
  <si>
    <t>Porcentaje de municipios asesorados o asistidos en la inclusión del componente ambiental en los procesos de planificación y ordenamiento territorial, con énfasis en la incorporación de las determinantes ambientales para la revisión y ajuste de los POT. (IMG Res.667/16)
Porcentaje de planes de desarrollo territorial -PDT construidos sobre lineamientos PGAR 2016 - 2036, Plan Nacional de Desarrollo y lineamientos DNP.
Porcentaje de municipios priorizados apoyados en la formulación y/o actualización de los POT, PBOT, EOT</t>
  </si>
  <si>
    <t>Política para la Gestión Sostenible del Suelo</t>
  </si>
  <si>
    <t>A-1.2: Brindar acompañamiento y capacitación para la integración de la gestión del riesgo en instrumentos de planificación y Ordenamiento Territorial  (En cumplimiento de la sentencia de Tutela T269 del 2015 y la acción popular 2015-607)</t>
  </si>
  <si>
    <t>Número de municipios asesorados en la integración de la gestión del riesgo con los  Planes Básicos y Esquemas de Ordenamiento Territorial</t>
  </si>
  <si>
    <t>2024 - 2027: 64 municipios (16 municipios cada año)</t>
  </si>
  <si>
    <t>L1.17.1</t>
  </si>
  <si>
    <t>Número de municipios con la integración de la dimensión ambiental,  gestión del riesgo y desarrollo de estrategias de adaptación al cambio climático en sus procesos de OT</t>
  </si>
  <si>
    <t>A-1.3: Brindar acompañamiento y capacitación para la incorporación, planificación y ejecución de acciones relacionadas con cambio climático en instrumentos de planificación y Ordenamiento Territorial</t>
  </si>
  <si>
    <r>
      <t>Porcentaje de entes territoriales asesorados en la incorporación, planificación y ejecución de acciones relacionadas con cambio climático en el marco de los instrumentos de planificación territorial.</t>
    </r>
    <r>
      <rPr>
        <b/>
        <sz val="7"/>
        <rFont val="Arial"/>
        <family val="2"/>
      </rPr>
      <t>(IMG Res.667/16)</t>
    </r>
  </si>
  <si>
    <t>Realizar eventos de capacitación para la incorporación de cambio climático en los PDD, PDM y POT</t>
  </si>
  <si>
    <t>L1.17.1
L1.17.3</t>
  </si>
  <si>
    <t xml:space="preserve">Número de municipios con la integración de la dimensión ambiental,  gestión del riesgo y desarrollo de estrategias de adaptación al cambio climático en sus procesos de OT.
Porcentaje de entes territoriales asesorados en la incorporación, planificación y ejecución de acciones relacionadas con cambio climático en el marco de los instrumentos de planificación territorial. (IMG Res 667/16)
</t>
  </si>
  <si>
    <t xml:space="preserve">A-1.4: Realizar seguimiento a los municipios priorizados, a fin de verificar el cumplimiento de los asuntos ambientales concertados en los POT adoptados </t>
  </si>
  <si>
    <t>Municipios con seguimiento al cumplimiento de los asuntos ambientales concertados en los POT adoptados.</t>
  </si>
  <si>
    <t>2024 - 2027: 48  municipios (12 municipios cada año)</t>
  </si>
  <si>
    <t>L1.17.4</t>
  </si>
  <si>
    <t>Porcentaje de municipios con instrumentos de seguimiento y evaluación (Expedientes Municipales) de los POT, PBOT y EOT, formulados y en operación</t>
  </si>
  <si>
    <t>A-1.5: Estructurar  las determinantes ambientales relacionadas con la extensión de corredores viales en suelo rural suburbano para los municipios de la zona Andina que opten por establecer suelos suburbanos  del departamento de Nariño</t>
  </si>
  <si>
    <t>Documento de determinantes elaborado</t>
  </si>
  <si>
    <t xml:space="preserve">Proyecto 5.2: Evaluación y seguimiento de planes de contingencia </t>
  </si>
  <si>
    <t>Evaluar los Planes de Contingencia provenientes de establecimientos que realizan el transporte, almacenamiento y distribución de hidrocarburos y sustancias nocivas en el Departamento de Nariño, de acuerdo a los términos de referencia de CORPONARIÑO y normatividad ambiental vigente.</t>
  </si>
  <si>
    <t>P-1: Evaluación y seguimiento de Planes de Contingencia</t>
  </si>
  <si>
    <t>A-1.1: Realizar la Evaluación de Planes de Contingencia allegados en términos de tiempo establecidos.</t>
  </si>
  <si>
    <t>Tiempo promedio de trámite para la evaluación de planes de   contingencia</t>
  </si>
  <si>
    <t xml:space="preserve">A-1.2: Realizar seguimiento y monitoreo a los Planes de Contingencia de las Estaciones de Servicio Aprobadas
</t>
  </si>
  <si>
    <t>Porcentaje en Seguimiento y monitoreo de Los Planes de Contingencia para derrame de Hidrocarburos</t>
  </si>
  <si>
    <t>90</t>
  </si>
  <si>
    <t xml:space="preserve">Línea base: 603 estaciones de servicio a 2024
</t>
  </si>
  <si>
    <t>A-1.3: Realizar la revisión y evaluación de los Planes de Contingencia presentados por los usuarios que transporten, almacenen y distribuyan Hidrocarburos o Sustancias Nocivas en el Departamento de Nariño</t>
  </si>
  <si>
    <t>Porcentaje de Planes de Contingencia Evaluados</t>
  </si>
  <si>
    <t>Revisión y evaluación del total planes que se requiera</t>
  </si>
  <si>
    <t>Proyecto 5.3: Fortalecimiento de la autoridad ambiental, proceso licencias, permisos y autorizaciones ambientales</t>
  </si>
  <si>
    <t>Mejorar el control ambiental sobre actividades legales e ilegales en el aprovechamiento de los recursos naturales a fin de dar cumplimiento a las funciones de autoridad ambiental</t>
  </si>
  <si>
    <t>P-1: Control, manejo y seguimiento de los recursos naturales a través de los diferentes trámites ambientales y atención de denuncias por delitos a los recursos naturales y al ambiente</t>
  </si>
  <si>
    <t>A-1.1: Reportar el tiempo promedio de trámite para la resolución de autorizaciones ambientales otorgadas por la corporación.</t>
  </si>
  <si>
    <r>
      <t xml:space="preserve">Tiempo promedio de trámite para la resolución de autorizaciones ambientales otorgadas por la corporación (Consolidado Concesiones, Aprovechamiento Forestal, Licencias, Vertimientos y Emisiones Atmosféricas) </t>
    </r>
    <r>
      <rPr>
        <b/>
        <sz val="7"/>
        <rFont val="Arial"/>
        <family val="2"/>
      </rPr>
      <t>(IMG Res.667/16)</t>
    </r>
  </si>
  <si>
    <t>Mejorar el control y manejo de los recursos naturales</t>
  </si>
  <si>
    <t>P-2: Administración, control y seguimiento de los recursos naturales</t>
  </si>
  <si>
    <t xml:space="preserve">A-2.1: Realizar seguimiento a las  autorizaciones ambientales otorgadas por la Corporación
</t>
  </si>
  <si>
    <r>
      <t>Porcentaje de autorizaciones ambientales con seguimiento  (Consolidado Licencias Ambientales, Concesiones de Agua, Permisos de Aprovechamiento Forestal, Permisos de Emisiones Atmosféricas, Permisos de Vertimientos)</t>
    </r>
    <r>
      <rPr>
        <b/>
        <sz val="7"/>
        <color theme="1"/>
        <rFont val="Arial"/>
        <family val="2"/>
      </rPr>
      <t xml:space="preserve"> (IMG Res. 667 /16)</t>
    </r>
  </si>
  <si>
    <t>2024: Licencias ambientales:  42, Concesiones de Agua: 600, Permisos de Aprovechamiento Forestal: 17,  Permisos de Emisiones Atmosféricas: 42 y  Permisos de Vertimientos: 300
2025 - 2027: Proyectos activos y de acuerdo a la meta de cada proyecto</t>
  </si>
  <si>
    <t>P-3: Consolidación y reporte de información   resultado del ejercicio de autoridad ambiental,  en los sistemas nacionales</t>
  </si>
  <si>
    <t xml:space="preserve">A-1.5: Reportar información al Sistema de Información ambiental de Colombia - SIAC
</t>
  </si>
  <si>
    <r>
      <t xml:space="preserve">Porcentaje de actualización y reporte de la información en el SIAC </t>
    </r>
    <r>
      <rPr>
        <b/>
        <sz val="7"/>
        <color theme="1"/>
        <rFont val="Arial"/>
        <family val="2"/>
      </rPr>
      <t>(IMG Res. 667 /16)</t>
    </r>
  </si>
  <si>
    <t>SNIF-Sistema Nacional de Información Forestal</t>
  </si>
  <si>
    <t>A-1.6: Adelantar la articulación de  la planificación, consolidación y reporte de las acciones de gestión ambiental urbana - ICAU ( índice de calidad ambiental urbana)</t>
  </si>
  <si>
    <r>
      <t xml:space="preserve">Porcentaje de ejecución de acciones en gestión ambiental urbana </t>
    </r>
    <r>
      <rPr>
        <b/>
        <sz val="7"/>
        <color theme="1"/>
        <rFont val="Arial"/>
        <family val="2"/>
      </rPr>
      <t>(IMG Res. 667 /16)</t>
    </r>
  </si>
  <si>
    <t>Política Gestión Ambiental Urbana</t>
  </si>
  <si>
    <t>Proyecto 5.4: Gestión del riesgo para su incorporación en el ordenamiento ambiental territorial</t>
  </si>
  <si>
    <t>Incrementar el conocimiento para la gestión del riesgo de desastres en el departamento de Nariño.</t>
  </si>
  <si>
    <t>P-1: Estudios de amenazas naturales e informes de caracterización y seguimiento, para el conocimiento y reducción del riesgo de desastres</t>
  </si>
  <si>
    <t>A-1.1: Elaboración de estudios de amenazas naturales para el conocimiento y reducción del riesgo de desastres</t>
  </si>
  <si>
    <t>Estudios realizados (Estudios de susceptibilidad de amenazas naturales )</t>
  </si>
  <si>
    <t>2024: Un estudio de amenazas en las márgenes del cauce del rio Guáitara - cuenca media - municipios de Yacuanquer, Consacá, Sandoná y Ancuya y  un estudio de amenazas naturales en el municipio de Pasto.
2025-2027: Sitios priorizados donde se presenten  eventos ambientales (deslizamientos, inundaciones y avenidas torrenciales)</t>
  </si>
  <si>
    <t>L6.114.2</t>
  </si>
  <si>
    <t>Estudios priorizados de Amenaza, Vulnerabilidad y Riesgo que permitan conocer los escenarios de riesgo presentes en el departamento de Nariño, elaborados</t>
  </si>
  <si>
    <t>3205017 Documentos con diseños de obra para la reducción y mitigación del riesgo de desastres</t>
  </si>
  <si>
    <t xml:space="preserve">320501700 Documentos con diseños de obra para la reducción y mitigación del riesgo de desastres elaborados </t>
  </si>
  <si>
    <t>A-1.2: Realizar informes de seguimiento a amenazas naturales en municipios de la zona andina del Departamento de Nariño</t>
  </si>
  <si>
    <t>Informes de seguimiento (Informes de seguimiento a amenazas naturales)</t>
  </si>
  <si>
    <t xml:space="preserve"> A-1.3: Atención de peticiones relacionadas con el conocimiento para la reducción del riesgo</t>
  </si>
  <si>
    <t xml:space="preserve">Solicitudes atendidas (Solicitudes de los municipios y concejo departamental del riesgo atendidas)
</t>
  </si>
  <si>
    <t>L4.88.3</t>
  </si>
  <si>
    <t>Municipios asesorados en la formulación de Planes Municipales de Gestión del Riesgo, Estrategias Municipales de Respuesta a Emergencia, Fondos Municipales y conformación de CMGRD (PGAR)</t>
  </si>
  <si>
    <t>A-1.4: Generación de reportes a la base de datos de CORPONARIÑO de los fenómenos naturales</t>
  </si>
  <si>
    <t>Base de datos (Base de datos de  amenazas naturales actualizada)</t>
  </si>
  <si>
    <t>Implementar medidas de reducción de riesgo de desastres en el departamento de Nariño.</t>
  </si>
  <si>
    <t>P-2: Implementación de actividades (obras) para mitigar y disminuir el riesgo de desastres en zonas priorizada del departamento de Nariño</t>
  </si>
  <si>
    <t>A-2.1: Número de actividades (obras) para mitigar y disminuir el riesgo de desastres en una zona priorizada del departamento de Nariño.</t>
  </si>
  <si>
    <t>Número de actividades u obras</t>
  </si>
  <si>
    <t>L4.90.1</t>
  </si>
  <si>
    <t>Obras de mitigación o estabilización construidas en zonas priorizados</t>
  </si>
  <si>
    <t>Programa 7.Gestión integral de mares, costas y recursos acuáticos</t>
  </si>
  <si>
    <t>Proyecto 7.1: Implementación de acciones de control y manejo de especies invasoras y exóticas</t>
  </si>
  <si>
    <t>3207 Gestión integral de mares, costas y recursos acuáticos</t>
  </si>
  <si>
    <t>Mejorar las medidas de prevención, control y manejo de especies y áreas afectadas por especies invasoras</t>
  </si>
  <si>
    <t>P-1: Prevención, control y manejo de especies invasoras.</t>
  </si>
  <si>
    <t>A-1.1: Adelantar acciones de manejo, control y prevención de especies invasoras.</t>
  </si>
  <si>
    <r>
      <t xml:space="preserve">Porcentaje de especies invasoras con medidas de prevención, control y manejo en ejecución. </t>
    </r>
    <r>
      <rPr>
        <b/>
        <sz val="7"/>
        <rFont val="Arial"/>
        <family val="2"/>
      </rPr>
      <t>(IMG Res. 667/16)</t>
    </r>
  </si>
  <si>
    <t>Especies de fauna invasora continentales</t>
  </si>
  <si>
    <t>60 Visitas anuales de prevención, control y manejo de la especie caracol africano (Achatina fúlica).</t>
  </si>
  <si>
    <t>L1.31.2</t>
  </si>
  <si>
    <t>Incorporado el tema de cambio climático en las medidas de prevención, control y manejo de especies invasoras, exóticas y trasplantadas priorizadas.</t>
  </si>
  <si>
    <t>3207009 Servicio de control de especies invasoras y exóticas</t>
  </si>
  <si>
    <t>320700902 Especies invasoras y exóticas controladas</t>
  </si>
  <si>
    <t xml:space="preserve">A.1.2: Adelantar acciones de manejo, control y prevención de especies con potencial invasor y exóticas en el Departamento de Nariño. </t>
  </si>
  <si>
    <t>Porcentaje de especies con potencial invasor y exóticas, con medidas de prevención, control y manejo en ejecución</t>
  </si>
  <si>
    <t>100</t>
  </si>
  <si>
    <t>Acciones priorizadas relacionadas con la especie  Garza de Ganado (Bubulcus ibis)  y otras</t>
  </si>
  <si>
    <t xml:space="preserve">320700901 Proyectos para el control de especies invasoras y exóticas formulados </t>
  </si>
  <si>
    <t>Proyecto 7.2: Planeación, ordenación y manejo de zonas costeras</t>
  </si>
  <si>
    <t>Implementación de acciones en manejo integrado de zonas costeras</t>
  </si>
  <si>
    <t>P-1: Implementación de acciones en manejo integrado de zonas costeras</t>
  </si>
  <si>
    <t>A-1.1: Implementar acciones de restauración en zonas de manglar</t>
  </si>
  <si>
    <r>
      <t xml:space="preserve">Implementación de acciones en manejo integrado de zonas costeras </t>
    </r>
    <r>
      <rPr>
        <b/>
        <sz val="7"/>
        <color theme="1"/>
        <rFont val="Arial"/>
        <family val="2"/>
      </rPr>
      <t>(IMG Res 667/16)</t>
    </r>
  </si>
  <si>
    <t>Gestión Ambiental en las zonas costeras de su jurisdicción</t>
  </si>
  <si>
    <t>Al menos 5 Hectáreas de manglar restauradas en cada vigencia</t>
  </si>
  <si>
    <t>L1.45.1</t>
  </si>
  <si>
    <t>Implementación de acciones en manejo integrado de zonas costeras. (IMG. 667/16)</t>
  </si>
  <si>
    <t>3207019 Servicio de restauración ecológica de ecosistemas de manglar</t>
  </si>
  <si>
    <t>320701900 Manglar en proceso de restauración</t>
  </si>
  <si>
    <t>Proyecto 7.3: Monitoreo en corrientes hídricas priorizadas en zonas costeras</t>
  </si>
  <si>
    <t>Monitorear la calidad del agua de las fuentes hídricas de la zona costera</t>
  </si>
  <si>
    <t>P-1: Monitoreo de la calidad del agua de fuentes hídricas de la zona costera</t>
  </si>
  <si>
    <t>A-1.1: Monitoreo de calidad del agua en fuentes hídricas de la zona costera</t>
  </si>
  <si>
    <t>Documento del estado de la calidad del recurso hídrico en la zona marino costera. (Monitoreo)</t>
  </si>
  <si>
    <t>L1.52.1</t>
  </si>
  <si>
    <t>Documento del estado de la calidad del recurso hídrico en la zona marino-costera.</t>
  </si>
  <si>
    <t>3207004 Documentos de investigación para la gestión integral de mares, costas y recursos acuáticos</t>
  </si>
  <si>
    <t xml:space="preserve">320700400 Documentos de investigación realizados </t>
  </si>
  <si>
    <t>LE2. Educación para la participación y la gobernanza ambiental.</t>
  </si>
  <si>
    <t>Programa 8. Educación, participación y cultura ambiental</t>
  </si>
  <si>
    <t>Proyecto 8.1: Dinamización de escenarios de sensibilización para la apropiación social del conocimiento ambiental en el departamento de Nariño</t>
  </si>
  <si>
    <t>3208 Educación Ambiental</t>
  </si>
  <si>
    <t>Implementar acciones de educación ambiental en el marco de una política pública participativa e inclusiva dirigido a promover la sostenibilidad ambiental en el marco de la educación Ambiental formal y no formal, con criterios de amplia comunicación interinstitucional, intersectorial, comunitaria y étnica, contribuyendo al fortalecimiento de la cultura ambiental y la gobernanza.</t>
  </si>
  <si>
    <t>P-1: Dinamización de los escenarios de sensibilización para el conocimiento, uso y conservación de los recursos naturales y renovables</t>
  </si>
  <si>
    <t>A-1.1: Implementar campañas institucionales en articulación con CIDEA, priorizando Sentencias Guáitara, Amazonía y demás órdenes judiciales</t>
  </si>
  <si>
    <t>Número de campañas institucionales desarrolladas en articulación con CIDEA y dinamizadores ambientales</t>
  </si>
  <si>
    <t>L2.62.1
L5.95.1
L2.67.1</t>
  </si>
  <si>
    <t xml:space="preserve">Estrategia de articulación y fortalecimiento de las instancias regionales y locales (CIDEA Dptal y Mpal) diseñada 
Número de alianzas suscritas y en implementación
Campaña interinstitucional diseñada e implementada en los municipios del Departamento </t>
  </si>
  <si>
    <t>3208012 Servicio de acompañamiento a la implementación de estrategias de educación ambiental</t>
  </si>
  <si>
    <t>320801200 Estrategias de educación ambiental implementadas</t>
  </si>
  <si>
    <t>Política Nacional de Educación Ambiental ~ SINA</t>
  </si>
  <si>
    <t>GUÁITARA - 52001-23-33-2017-0639-00
AMAZONIA- 11001-22-03-000- 2018-00319-01
LA COCHA - 52-001-23-33-000-2017-00070-00</t>
  </si>
  <si>
    <t>A-1.2: Desarrollar actividades de sensibilización en el Centro Ambiental Chimayoy</t>
  </si>
  <si>
    <t>Número de actividades de sensibilización desarrolladas</t>
  </si>
  <si>
    <t xml:space="preserve">A-1.3: Estrategia de comunicación institucional operativizada en la Entidad para el fortalecimiento de la Educación ambiental y la participación comunitaria </t>
  </si>
  <si>
    <t xml:space="preserve">Número de acciones enmarcadas en la estrategia de comunicación institucional operativizada en la entidad </t>
  </si>
  <si>
    <t>3208008 Servicio de divulgación de la información de la política nacional de educación ambiental y participación</t>
  </si>
  <si>
    <t>320800801 Piezas de comunicación sobre educación ambiental y participación editadas</t>
  </si>
  <si>
    <t>A-1.4: Fortalecer los  procesos de los dinamizadores ambientales</t>
  </si>
  <si>
    <t>Número de procesos de los dinamizadores ambientales fortalecidos</t>
  </si>
  <si>
    <t>3208006 Servicio de asistencia técnica para la implementación de lasestrategias educativo ambientales y de participación</t>
  </si>
  <si>
    <t xml:space="preserve">320800600 Estrategias educativo ambientales y de participación implementadas </t>
  </si>
  <si>
    <t xml:space="preserve">A-1.5: Dinamizar encuentros para fortalecer el desarrollo personal a través de la estrategia "Ecoterapia" </t>
  </si>
  <si>
    <t>Número de encuentros realizados en el marco de la estrategia "Ecoterapia"</t>
  </si>
  <si>
    <t>A-1.6: Dinamizar la implementación de la  estrategia  "Responsabilidad Empresarial Social y Ambiental" - RESA</t>
  </si>
  <si>
    <t>Número de actividades para dinamizar la estrategia RESA</t>
  </si>
  <si>
    <t>Proyecto 8.2: Procesos de formación ambiental para el fortalecimiento de la política nacional de educación ambiental en el departamento de Nariño</t>
  </si>
  <si>
    <t xml:space="preserve">Contribuir a generar alternativas de cambio social a través del fortalecimiento de la cultura ambiental, promoviendo   la participación comunitaria en la solución de la problemática ambiental del departamento de Nariño; permitiendo la generación de  espacios de sensibilización y prevención, a través de la educación ambiental, fomentando acciones de cuidado, protección y conservación, para evitar el uso inadecuado de especies vegetales, animales y de los ecosistemas, por parte de la comunidad en general; considerando como aliados estratégicos los Comités Técnicos Interinstitucionales Municipales (CIDEAM). </t>
  </si>
  <si>
    <t>P-1: Fortalecimiento de las estrategias de la política de educación ambiental en la generación de conocimiento para la administración de RNR a través de procesos de formación ambiental</t>
  </si>
  <si>
    <t>A-1.1: Brindar acompañamiento a los Proyectos Ambientales Escolares -PRAE</t>
  </si>
  <si>
    <t xml:space="preserve">Número de PRAE fortalecidos </t>
  </si>
  <si>
    <t>L2.60.1   
L2.62.2   
L2.63.1</t>
  </si>
  <si>
    <t xml:space="preserve">Diagnóstico de las entidades que hacen parte del sector educativo formal (Instituciones educativas y universidades) elaborado.     
Porcentaje de proyectos de Educación ambiental priorizados (institucionales, municipales, comunitarios)   fortalecidos.   
Porcentaje de las instituciones educativas del Departamento con PRAE formulado </t>
  </si>
  <si>
    <t>320801202 Proyectos de educación ambiental implementados</t>
  </si>
  <si>
    <t>GUÁITARA - 52001-23-33-2017-0639-00
AMAZONIA- 11001-22-03-000- 2018-00319-01</t>
  </si>
  <si>
    <t>A-1.2: Brindar acompañamiento a los Proyectos Comunitarios de Educación Ambiental - PROCEDA</t>
  </si>
  <si>
    <t xml:space="preserve">Número de Proyectos Comunitarios de Educación Ambiental - PROCEDA fortalecidos </t>
  </si>
  <si>
    <t>L5.99.1</t>
  </si>
  <si>
    <t>Porcentaje de ONG, organizaciones de base y comunitarias priorizadas fortalecidas</t>
  </si>
  <si>
    <t xml:space="preserve">A-1.3: Promover espacios para la dinamización de los proyectos Ambientales Universitarios (PRAU) </t>
  </si>
  <si>
    <t>Número de Proyectos Ambientales Universitarios (PRAU) fortalecidos</t>
  </si>
  <si>
    <t>A-1.4: Dinamizar proceso etnoeducativos  y/o alianzas estratégicas con comunidades étnicas  en el departamento priorizando sentencias y ordenes judiciales</t>
  </si>
  <si>
    <t xml:space="preserve">Número de procesos etnoeducativos y/o alianzas estratégicas con comunidades étnicas fortalecidas </t>
  </si>
  <si>
    <t>Sentencia Guáitara, Sentencia Amazonía y Acción Popular La Cocha</t>
  </si>
  <si>
    <t>L5.97.1</t>
  </si>
  <si>
    <t>Porcentaje de alianzas priorizadas suscritas y en ejecución con los grupos étnicos en el marco de la Política Nacional de Educación Ambiental</t>
  </si>
  <si>
    <t>3208007 Servicio de apoyo técnico a proyectos de educación ambiental y participación con enfoque diferencial</t>
  </si>
  <si>
    <t>320800700 Proyectos de etnoeducación apoyados</t>
  </si>
  <si>
    <t>Proyecto 8.3: Fortalecimiento de organizaciones comunitarias, étnicas y ambientalistas para la participación y la gobernanza ambiental</t>
  </si>
  <si>
    <t xml:space="preserve">Contribuir a generar alternativas de cambio social a través del fortalecimiento de procesos institucionales en el marco de las Estrategia de Educación Ambiental con enfoque de participación comunitaria, proyectada a la formación de participación comunitaria dirigido a organizaciones de base presentes </t>
  </si>
  <si>
    <t>P-1: Dinamización de la participación comunitaria tendiente a la resolución de conflictos socio ambientales desde la Educación Ambiental</t>
  </si>
  <si>
    <t>A-1.1: Brindar asistencia técnica a los Comités Técnicos Interinstitucionales de Educación Ambiental Municipales para la dinamización de los PEAM</t>
  </si>
  <si>
    <t>Comités Técnicos Interinstitucionales de Educación Ambiental Municipales con asistencia técnica para la dinamización de los PEAM</t>
  </si>
  <si>
    <t xml:space="preserve">Se prevé asistencia técnica a 16 municipios, sin embargo pueden mas dependiendo de los requerimiento de los municipios. </t>
  </si>
  <si>
    <t>L2.64.1   L2.65.1   L2.66.1  L5.98.1</t>
  </si>
  <si>
    <t>Plan Departamental de Educación Ambiental formulado y aprobado.       Comités Interinstitucionales de Educación Ambiental Municipal -CIDEAM conformados y en operación.     Planes de Educación Ambiental Municipal formulados y en ejecución. Porcentaje de municipios fortalecidos en su capacidad institucional para la ejecución de las funciones ambientales de su competencia</t>
  </si>
  <si>
    <t>A-1.2: Implementar la estrategia denominada "Educación Ambiental con enfoque de participación comunitaria"</t>
  </si>
  <si>
    <t>Número de talleres implementados en el marco de la estrategia " Educación Ambiental con enfoque de participación comunitaria" (Acuerdo de Escazú y Veedurías Ambientales para la EA)</t>
  </si>
  <si>
    <t>320800800 Campañas de educación ambiental y participación implementadas</t>
  </si>
  <si>
    <t>A-1.3: Consolidar la acciones en educación ambiental que desde CORPONARIÑO se implementan en el Departamento de Nariño</t>
  </si>
  <si>
    <r>
      <t xml:space="preserve">Porcentaje de ejecución de acciones en Educación Ambiental  </t>
    </r>
    <r>
      <rPr>
        <b/>
        <sz val="7"/>
        <rFont val="Arial"/>
        <family val="2"/>
      </rPr>
      <t>(IMG Res. 667/16)</t>
    </r>
  </si>
  <si>
    <t>Acompañamiento e implementación de PRAE</t>
  </si>
  <si>
    <t>L2.61.1</t>
  </si>
  <si>
    <t>Porcentaje de ejecución de acciones en Educación Ambiental  (IMG Res. 667/16)</t>
  </si>
  <si>
    <t>LE3. Fortalecimiento de capacidades y generación de cultura para la reconversión de las actividades económicas y productivas hacia un enfoque de producción y consumo sostenible</t>
  </si>
  <si>
    <t>Programa 1. Fortalecimiento del desempeño ambiental de los sectores productivo</t>
  </si>
  <si>
    <t>Proyecto 1.1: Control y seguimiento  a la gestión de residuos sólidos</t>
  </si>
  <si>
    <t>3201 Fortalecimiento del desempeño ambiental de los sectores productivos</t>
  </si>
  <si>
    <t>Fortalecer el manejo adecuado de los residuos sólidos mediante el seguimiento, control y monitoreo</t>
  </si>
  <si>
    <t xml:space="preserve">P-1: Control y monitoreo de residuos sólidos peligrosos - RESPEL </t>
  </si>
  <si>
    <t>A-1.1: Realizar control y monitoreo de residuos peligrosos hospitalarios</t>
  </si>
  <si>
    <t>Número de Visitas de control y monitoreo de residuos peligrosos hospitalarios</t>
  </si>
  <si>
    <t>2024 - 2027: 75% (1020) de total de generadores de RESPEL hospitalarios (1.350) de acuerdo con la capacidad operativa de la entidad.</t>
  </si>
  <si>
    <t>L1.16.1</t>
  </si>
  <si>
    <t>Porcentaje de generadores  registrados de RESPEL y  Empresas de servicio especial de aseo con seguimiento</t>
  </si>
  <si>
    <t>3201026 Servicio de seguimiento del licenciamiento ambiental</t>
  </si>
  <si>
    <t>320102600 Proyectos licenciados con seguimiento realizado</t>
  </si>
  <si>
    <t>Política Ambiental para la Gestión Integral de Residuos o Desechos Peligrosos</t>
  </si>
  <si>
    <t>CAPA-3) Gestión de residuos</t>
  </si>
  <si>
    <t xml:space="preserve">A-1.2: Realizar el registro de generadores de residuos o desechos peligrosos en la plataforma RUA - RESPEL </t>
  </si>
  <si>
    <t>Número de  generadores de residuos o desechos peligrosos en la plataforma RUA - RESPEL, registrados.</t>
  </si>
  <si>
    <t xml:space="preserve">Línea base: 450 usuarios registrados a 2023
2024 -2027: 15 por año de acuerdo con el promedio histórico de registros </t>
  </si>
  <si>
    <t>L1.14.1</t>
  </si>
  <si>
    <t>Registro de generadores de residuos o desechos peligrosos alimentado</t>
  </si>
  <si>
    <t>A-1.3: Adelantar jornadas de capacitación a generadores de residuos peligrosos</t>
  </si>
  <si>
    <t xml:space="preserve">Número de capacitaciones a generadores de residuos peligrosos realizadas </t>
  </si>
  <si>
    <t>Llevar el registro de generadores capacitados por vigencia (residuos hospitalarios y demás sectores)</t>
  </si>
  <si>
    <t>L1.15.1</t>
  </si>
  <si>
    <t>Porcentaje de generadores asesorados y fortalecidos (Hospitalarios y demás sectores)</t>
  </si>
  <si>
    <t>3201031 Servicio de asistencia técnica</t>
  </si>
  <si>
    <t>320103100 Asistencias técnicas realizadas</t>
  </si>
  <si>
    <t xml:space="preserve">A-1.4: Realizar seguimiento a las Licencias ambientales  de residuos peligrosos otorgados por CORPONARIÑO </t>
  </si>
  <si>
    <r>
      <t>Porcentaje de autorizaciones ambientales con seguimiento (Licencias sitio de disposición final)</t>
    </r>
    <r>
      <rPr>
        <b/>
        <sz val="7"/>
        <color theme="1"/>
        <rFont val="Arial"/>
        <family val="2"/>
      </rPr>
      <t xml:space="preserve"> (IMG Res. 667/2016) </t>
    </r>
    <r>
      <rPr>
        <sz val="7"/>
        <color theme="1"/>
        <rFont val="Arial"/>
        <family val="2"/>
      </rPr>
      <t>(Residuos Peligrosos)</t>
    </r>
  </si>
  <si>
    <t>Licencias ambientales</t>
  </si>
  <si>
    <t>100% de las licencias ambientales vigentes en cada periodo</t>
  </si>
  <si>
    <t>A-1.5: Realizar  control y monitoreo a residuos peligrosos</t>
  </si>
  <si>
    <t>Visitas de control y monitoreo de residuos peligrosos (Inflamables, radioactivos, tóxicos corrosivos, explosivos)</t>
  </si>
  <si>
    <t>Línea base: 620 generadores de RESPEL</t>
  </si>
  <si>
    <t>12.4.1 P</t>
  </si>
  <si>
    <t>Residuos peligrosos aprovechados y tratados</t>
  </si>
  <si>
    <t>A-1.6: Adelantar jornadas de capacitación a gestores autorizados para el manejo de RESPEL.</t>
  </si>
  <si>
    <t>Número de gestores capacitados en el manejo de RESPEL</t>
  </si>
  <si>
    <t>Capacitación al 100% de gestores con licencia vigente en cada año</t>
  </si>
  <si>
    <t>Política Nacional para la Gestión Integral de Residuos</t>
  </si>
  <si>
    <t>P-2: Seguimiento a PGIRS municipales</t>
  </si>
  <si>
    <t>A-2.1: Adelantar seguimiento a los compromisos establecidos en los PGIRS municipales, en los programas de aprovechamiento</t>
  </si>
  <si>
    <r>
      <t xml:space="preserve">Porcentaje de PGIRS con seguimiento a metas de aprovechamiento </t>
    </r>
    <r>
      <rPr>
        <b/>
        <sz val="7"/>
        <color theme="1"/>
        <rFont val="Arial"/>
        <family val="2"/>
      </rPr>
      <t>(IMG Res. 667/2016) (PGAR L1.11.1)</t>
    </r>
  </si>
  <si>
    <t>62 municipios con PGIRS (44 aprobados, 10 en ajustes y 8 en incumplimiento)</t>
  </si>
  <si>
    <t>L1.10.3
L1.11.1</t>
  </si>
  <si>
    <r>
      <t xml:space="preserve">Toneladas de residuos sólidos aprovechados </t>
    </r>
    <r>
      <rPr>
        <b/>
        <sz val="7"/>
        <color theme="1"/>
        <rFont val="Arial"/>
        <family val="2"/>
      </rPr>
      <t>(IMA. Res. 0667)</t>
    </r>
    <r>
      <rPr>
        <sz val="7"/>
        <color theme="1"/>
        <rFont val="Arial"/>
        <family val="2"/>
      </rPr>
      <t xml:space="preserve">
Porcentaje PGIRS con seguimiento a su ejecución (metas de aprovechamiento)</t>
    </r>
  </si>
  <si>
    <t>8.4.2.C</t>
  </si>
  <si>
    <t>Porcentaje de residuos sólidos efectivamente aprovechados</t>
  </si>
  <si>
    <t>A-2.2: Adelantar seguimiento a los compromisos establecidos en los PGIRS  en ejecución (disposición de Residuos de Construcción y Demolición -RCD)</t>
  </si>
  <si>
    <t>Porcentaje de PGIRS con seguimiento a su ejecución (disposición de RCD)</t>
  </si>
  <si>
    <t>54 municipios con PGIRS (44 aprobados, 10 en ajustes)</t>
  </si>
  <si>
    <t>L1.9.1</t>
  </si>
  <si>
    <t>PGIRS actualzados, evaluados y aprobados</t>
  </si>
  <si>
    <t>P-3: Control y seguimiento en el adecuado manejo de residuos sólidos urbanos por parte de las administraciones municipales y empresas de servicios públicos</t>
  </si>
  <si>
    <t>A-3.1: Adelantar control y monitoreo a sitios de disposición final de residuos sólidos operando, clausurados y botaderos a cielo abierto</t>
  </si>
  <si>
    <r>
      <t>Porcentaje de autorizaciones ambientales con seguimiento (Licencias sitio de disposición final)</t>
    </r>
    <r>
      <rPr>
        <b/>
        <sz val="7"/>
        <color theme="1"/>
        <rFont val="Arial"/>
        <family val="2"/>
      </rPr>
      <t xml:space="preserve"> (IMG Res. 667/2016)</t>
    </r>
    <r>
      <rPr>
        <sz val="7"/>
        <color theme="1"/>
        <rFont val="Arial"/>
        <family val="2"/>
      </rPr>
      <t xml:space="preserve"> (Residuos Urbanos)</t>
    </r>
  </si>
  <si>
    <t>Línea Base: 43 Licencias otorgadas (38 Zona andina y 5 costa pacífica)</t>
  </si>
  <si>
    <t xml:space="preserve">A-3.2: Tramitar las solicitudes de licenciamiento presentadas a la corporación en materia de residuos sólidos </t>
  </si>
  <si>
    <r>
      <t>Tiempo promedio de trámite para la resolución de autorizaciones ambientales otorgadas por la corporación (Licencias residuos sólidos)</t>
    </r>
    <r>
      <rPr>
        <b/>
        <sz val="7"/>
        <color theme="1"/>
        <rFont val="Arial"/>
        <family val="2"/>
      </rPr>
      <t xml:space="preserve"> (IMG Res.667/16)</t>
    </r>
  </si>
  <si>
    <t>Días</t>
  </si>
  <si>
    <t xml:space="preserve">A-3.3: Realizar seguimiento a la disposición de los residuos sólidos municipales </t>
  </si>
  <si>
    <t xml:space="preserve">Porcentaje de municipios con PGIRS con seguimiento a la disposición final (adecuada, inadecuada y aprovechada) de residuos solidos </t>
  </si>
  <si>
    <t>L1.10.1
L1.10.2</t>
  </si>
  <si>
    <t>Porcentaje de toneladas de residuos sólidos dispuestos adecuadamente
Porcentaje de toneladas de residuos sólidos dispuestos inadecuadamente</t>
  </si>
  <si>
    <t>Implementar talleres de capacitación para los generadores de residuos urbanos y peligrosos en las diferentes zonas del Departamento de Nariño.</t>
  </si>
  <si>
    <t xml:space="preserve">P-4: Fortalecimiento a municipios y E.S. P </t>
  </si>
  <si>
    <t>A-4.1: Brindar asesoría y  acompañamiento a Municipios (Administraciones Municipales -ESP)</t>
  </si>
  <si>
    <t>Porcentaje de los municipios asesorados y fortalecidos (Administraciones Municipales - ESP)</t>
  </si>
  <si>
    <t xml:space="preserve"> 64 municipios en cada vigencia</t>
  </si>
  <si>
    <t>L1.12.1</t>
  </si>
  <si>
    <t xml:space="preserve">Proyecto 1.2: Control y Seguimiento a generadores de emisiones atmosféricas para la mitigación del impacto a la calidad del aire en el departamento de Nariño. </t>
  </si>
  <si>
    <t>Fortalecer el cumplimiento de la normatividad ambiental vigente por parte de generadores de emisiones atmosféricas por fuentes fijas dispersas y fuentes fijas puntuales</t>
  </si>
  <si>
    <t>P-1: Seguimiento a fuentes fijas puntuales y dispersas generadoras de contaminantes atmosféricos</t>
  </si>
  <si>
    <t>A-1.1: Realizar seguimiento a fuentes
emisoras dispersas</t>
  </si>
  <si>
    <r>
      <t xml:space="preserve">Tiempo promedio de trámite para la resolución de autorizaciones ambientales otorgadas por la Corporación. (permiso de emisiones atmosféricas) </t>
    </r>
    <r>
      <rPr>
        <b/>
        <sz val="7"/>
        <color theme="1"/>
        <rFont val="Arial"/>
        <family val="2"/>
      </rPr>
      <t>(IMG Res.667/2016)</t>
    </r>
  </si>
  <si>
    <t>Permisos de emisiones atmosféricas</t>
  </si>
  <si>
    <t>Política de Prevención y Control de la Contaminación del Aire</t>
  </si>
  <si>
    <t>A-1.2: Realizar seguimiento a fuentes emisoras fijas</t>
  </si>
  <si>
    <r>
      <t xml:space="preserve">Porcentaje de autorizaciones ambientales con seguimiento (Permisos de emisiones atmosféricas) </t>
    </r>
    <r>
      <rPr>
        <b/>
        <sz val="7"/>
        <color theme="1"/>
        <rFont val="Arial"/>
        <family val="2"/>
      </rPr>
      <t>(IMG Res.667/16)</t>
    </r>
  </si>
  <si>
    <t>Seguimiento Permiso de emisiones atmósfericas</t>
  </si>
  <si>
    <t xml:space="preserve">2024: Proyectos activos (42 fuentes fijas)
2025 -2027: No. de proyectos activos  </t>
  </si>
  <si>
    <t xml:space="preserve">A-1.3: Actualizar inventario de fuentes fijas y móviles
</t>
  </si>
  <si>
    <t>Porcentaje de municipios con inventario actualizado de fuentes fijas y móviles</t>
  </si>
  <si>
    <t xml:space="preserve">Línea base a 2024:  10 municipios con fuentes fijas operando (Pasto, Ipiales, Tumaco, Funes, Iles, Túquerres, San Bernardo, San Pablo, Puerres, Consacá) y 20 CDA autorizados
100% de municipios con fuentes fijas legalizadas y CDA autorizados  </t>
  </si>
  <si>
    <t>L1.58.1</t>
  </si>
  <si>
    <t>Municipios con inventario actualizado de fuentes fijas y móviles.</t>
  </si>
  <si>
    <t>3201008 Servicio de vigilancia de la calidad del aire</t>
  </si>
  <si>
    <t>320100802 Inventarios de fuentes fijas o móviles realizados</t>
  </si>
  <si>
    <t>Fortalecer el cumplimiento de la normatividad ambiental vigente por parte de generadores de emisiones atmosféricas por fuentes móviles.</t>
  </si>
  <si>
    <t>P-2: Seguimiento a fuentes móviles generadoras de contaminantes atmosféricos</t>
  </si>
  <si>
    <t>A-2.1: Realizar seguimiento a Centros de Diagnóstico</t>
  </si>
  <si>
    <t xml:space="preserve">Porcentaje de CDA activos con seguimiento </t>
  </si>
  <si>
    <t xml:space="preserve">2024: 20 CDA activos 
2025-2027: CDA activos </t>
  </si>
  <si>
    <t>320100804 Visitas de seguimiento al cumplimiento de estándares de calidad del aire realizadas</t>
  </si>
  <si>
    <t>Contribuir al cumplimiento de la normatividad ambiental vigente referente a emisión de ruido ambiental .</t>
  </si>
  <si>
    <t>P-3: Seguimiento a la contaminación por ruido</t>
  </si>
  <si>
    <t>A-3.1: Actualizar los mapas de ruido para las cabeceras municipales de mas de 100.000 habitantes (Pasto, Ipiales y Tumaco)</t>
  </si>
  <si>
    <t>Número de Entes Territoriales con población mayor de 100.000 habitantes con proceso de actualización de mapas de ruido y  acompañamiento para su adopción</t>
  </si>
  <si>
    <t>2024 -2027: Tumaco, Pasto e  Ipiales</t>
  </si>
  <si>
    <t>L4.94.1</t>
  </si>
  <si>
    <t>Centros poblados mayores de 100.000 habitantes con mapa de ruido ambiental actualizado y con plan de descontaminación elaborado</t>
  </si>
  <si>
    <t>3201028 Servicio de monitoreo de fuentes de emisión de ruido</t>
  </si>
  <si>
    <t>320102800 Fuentes de emisiones de ruido monitoreadas</t>
  </si>
  <si>
    <t xml:space="preserve">Proyecto 1.3: Implementación de acciones priorizadas para el fomento de la producción y consumo sostenible </t>
  </si>
  <si>
    <t>Articular acciones y estrategias con actores de los sectores productivos para promover el desarrollo sostenible</t>
  </si>
  <si>
    <t>P-1: Acompañamiento   de proyectos productivos con , para la  reconversión productiva en el departamento de Nariño</t>
  </si>
  <si>
    <t>A-1.1: Identificar y priorizar organizaciones del sector productivo dispuestas a realizar procesos de reconversión</t>
  </si>
  <si>
    <r>
      <t>Porcentaje de sectores con acompañamiento para la reconversión hacia sistemas sostenibles de producción</t>
    </r>
    <r>
      <rPr>
        <b/>
        <sz val="7"/>
        <rFont val="Arial"/>
        <family val="2"/>
      </rPr>
      <t xml:space="preserve"> (IMG Res. 667 /16)</t>
    </r>
    <r>
      <rPr>
        <sz val="7"/>
        <rFont val="Arial"/>
        <family val="2"/>
      </rPr>
      <t xml:space="preserve"> (PGAR L3.75.1)</t>
    </r>
  </si>
  <si>
    <t>Acompañamiento en la reconversión hacia sistemas sostenibles de producción</t>
  </si>
  <si>
    <t>Alimentos Ecológicos (Sector priorizado) Al menos 6 agremiaciones del sector productivo con convenios de producción limpia e implementación de agendas de trabajo
Se busca firmar  convenio con gremios del sector  Porcícola y lácteos para sensibilización, legalización, transferencia de tecnologías limpias, entre otras y establecer  los compromisos para mitigar el impacto ambiental de la actividad productiva.</t>
  </si>
  <si>
    <t>L3.75.1</t>
  </si>
  <si>
    <t xml:space="preserve">Porcentaje de sectores priorizados con acompañamiento para la reconversión hacia sistemas sostenibles de producción (IMG Res. 667/2016) </t>
  </si>
  <si>
    <t>3201003 Servicio de asistencia técnica para la consolidación de negocios verdes</t>
  </si>
  <si>
    <t xml:space="preserve">320100300 Negocios verdes consolidados </t>
  </si>
  <si>
    <t>Política Nacional Producción  y Consumo Sostenible</t>
  </si>
  <si>
    <t>AMAZONIA- 11001-22-03-000- 2018-00319-01</t>
  </si>
  <si>
    <t xml:space="preserve">A-1.2: Implementar acciones para el fomento de la producción y el consumo  sostenibles  </t>
  </si>
  <si>
    <t>Número de Proyectos piloto de producción sostenible de los sectores productivos para el fomento de tecnologías limpias y/o alternativas de reconversión productiva</t>
  </si>
  <si>
    <t xml:space="preserve">Al menos  6 Proyectos pilotos  en renglones de producción priorizados al cuatrienio (Lácteos proyecto piloto para el manejo de subproductos; Porcícola y otros, de acuerdo con las necesidades del sector ) </t>
  </si>
  <si>
    <t>3201004 Servicio de asistencia técnica en el marco de la formulación e implementación de proyectos demostrativos para la reducción de impactos ambientales de la minería</t>
  </si>
  <si>
    <t>320100400 Proyectos demostrativos para la reducción de impactos ambientales de la minería diseñados</t>
  </si>
  <si>
    <t xml:space="preserve">A-1.3: Incorporar principios de ecoeficiencia en áreas dedicadas a producción agropecuaria </t>
  </si>
  <si>
    <t>Hectáreas destinadas a la producción agropecuaria con incorporación de principios de ecoeficiencia basados en la GIBSE (PGAR L1.38.1)</t>
  </si>
  <si>
    <t>2025 -2027: 3 ha, en cumplimiento de la sentencia de la Amazonia (1 ha en cada año)</t>
  </si>
  <si>
    <t>L1.38.1</t>
  </si>
  <si>
    <t xml:space="preserve">Hectáreas destinadas a la producción agropecuaria con incorporación de principios de ecoeficiencia basados en la GIBSE </t>
  </si>
  <si>
    <t>Fortalecer el desempeño ambiental en los sectores productivos, para mejorar la calidad y competitividad</t>
  </si>
  <si>
    <t xml:space="preserve">A-1.4: Fortalecer la capacidad de emprendimiento y el conocimiento en principios de ecoeficiencia a  pequeños productores agropecuarios. </t>
  </si>
  <si>
    <t>Porcentaje de pequeños productores agropecuarios comprometidos con 12 hectáreas para incorporación de principios de ecoeficiencia fortalecidos (PGAR L1.38.2)</t>
  </si>
  <si>
    <t>Acompañamiento técnico: planes de mejora elaborados y  apoyados para  implementación de BPA, producción y consumo sostenible con enfoque de circularidad y con incorporación de principios de ecoeficiencia basados en la GIBSE</t>
  </si>
  <si>
    <t>L1.38.2</t>
  </si>
  <si>
    <t>Porcentaje de pequeños productores agropecuarios comprometidos con las 6.000 ha reciben acompañamiento técnico</t>
  </si>
  <si>
    <t>P-2: Formulación y desarrollo del plan regional de negocios verdes con los sectores productivos</t>
  </si>
  <si>
    <t xml:space="preserve">A-2.1: Identificar y priorizar empresas y/o emprendimientos de Negocios Verdes </t>
  </si>
  <si>
    <t>Implementación del programa regional de negocios verdes por la autoridad ambiental (IMG Res. 667 /16) (PGAR L3.74.1)</t>
  </si>
  <si>
    <t>Formulacion planes de acción para la ejecución del PNRNV</t>
  </si>
  <si>
    <t>2024: plan de acción 8%, mesa técnica NV 2%, NV verificados y seguimiento12% y comercialización 6%. 
2025 - 2027: plan de acción 5%, mesa técnica NV 1%, NV verificados y seguimiento12% y comercialización 6%.
En el tema de NV verificados se prioriza 7 en cumplimiento de la sentencia de la amazonia (2024 -2026: 2 por año y 1 en 2027)</t>
  </si>
  <si>
    <t>L3.74.1</t>
  </si>
  <si>
    <t>Implementación del programa regional de negocios verdes (IMG Res. 667/2016)</t>
  </si>
  <si>
    <t>A-2.2: Fomentar e implementar acciones ambientales en los sistemas productivos de las empresas, grupos asociativos y comunidades organizadas identificadas y priorizadas</t>
  </si>
  <si>
    <t>Número de empresas , grupos asociativos y comunidades organizadas dedicadas a mercados verdes(IMA Res. 667 -16) (PGAR L3.75.2)</t>
  </si>
  <si>
    <t>40 nuevas organizaciones dedicadas a negocios verdes  y 40  organizadas con fortalecimiento, de las cuales 7 priorizadas en marco del cumplimiento de la amazonia (2025: 2, 2026: 2 y 2027:3)</t>
  </si>
  <si>
    <t>L3.75.2</t>
  </si>
  <si>
    <t xml:space="preserve">Porcentaje de empresas, grupos asociativos y comunidades organizadas (priorizados), dedicadas a mercados verdes apoyados y fortalecidos (IMA Res. 667/2016) </t>
  </si>
  <si>
    <t>12.b.1.C</t>
  </si>
  <si>
    <t xml:space="preserve">Negocios verdes verificados </t>
  </si>
  <si>
    <t>A-2.3: Proyectos de negocios verdes de los sectores identificados por el PNNV acompañados por la corporación</t>
  </si>
  <si>
    <t xml:space="preserve">Número de proyectos de negocios verdes con enfoque de economía circular  con  acompañamiento </t>
  </si>
  <si>
    <t xml:space="preserve">Se prioriza un proyecto para 2027 en cumplimiento de la sentencia de la Amazonía </t>
  </si>
  <si>
    <t>Proyecto 1.4: Fomento de tecnologías limpias en la minería del oro para la reducción de la contaminación por mercurio, cianuro y otras sustancias químicas en el departamento de Nariño.</t>
  </si>
  <si>
    <t>Monitorear bajo control el grado de contaminación por mercurio y otras sustancias químicas generado por vertimientos mineros.</t>
  </si>
  <si>
    <t xml:space="preserve">P-1: Gestión interinstitucional para la reducción de la contaminación por mercurio, cianuro y otras sustancias químicas </t>
  </si>
  <si>
    <t>A-1.1: Realizar muestreo de fuentes hídricas y unidades de producción minera - UPM en zonas de influencia  priorizadas contando con  el laboratorio químico y minero -metalúrgico fortalecido</t>
  </si>
  <si>
    <t>Puntos de muestreo en fuentes Hídricas y Unidades de Producción Minera - UPM monitoreadas en aguas, sedimento  y/o aire.</t>
  </si>
  <si>
    <t>25 puntos de muestreo en fuentes hídricas cercanas a los proyectos que tienen licencia de 28 proyectos en minería de oro (3 proyectos  con limitación de acceso por orden público)</t>
  </si>
  <si>
    <t>Optimizar procesos de beneficio mineral en la actividad minera del departamento de Nariño.</t>
  </si>
  <si>
    <t>P-2: Fomento a la producción sostenible en la pequeña minería de oro</t>
  </si>
  <si>
    <t>A-2.1: Realizar asistencia técnica, minero metalúrgica, en la pequeña minería de oro</t>
  </si>
  <si>
    <t>Número de unidades de producción minera con asistencia técnica minero metalúrgica para la aplicación de técnicas de producción limpia.</t>
  </si>
  <si>
    <t>28 minas con  licencias ambientales  vigentes</t>
  </si>
  <si>
    <t>L3.69.1</t>
  </si>
  <si>
    <t>Porcentaje de unidades productivas  mineras de metales preciosos legalizadas, que incorporan prácticas de producción más limpia</t>
  </si>
  <si>
    <t xml:space="preserve">A-2.2: Avanzar en la incorporación de prácticas de producción más limpia en la minera de metales preciosos legalizados </t>
  </si>
  <si>
    <t>Porcentaje de unidades productivas mineras de metales preciosos legalizadas que incorpora prácticas de producción mas limpia (PGAR L.3.69.1)</t>
  </si>
  <si>
    <t>25 UMP de 28 UPM legalizadas</t>
  </si>
  <si>
    <t>3201034 Servicio de seguimiento</t>
  </si>
  <si>
    <t>320103400 Acciones de Seguimiento desarrolladas</t>
  </si>
  <si>
    <t>Proyecto 1.5: Control, monitoreo y seguimiento de proyectos de minería  de materiales de construcción y oro en el departamento de Nariño</t>
  </si>
  <si>
    <t>Efectuar visitas de control, monitoreo y seguimiento a los proyectos mineros de oro y materiales de construcción, que cuentan con licencia ambiental en el departamento de Nariño y tramitar autorizaciones ambientales, como requisito para el desarrollo legal de la minería</t>
  </si>
  <si>
    <t>P-1: Control, monitoreo y seguimiento a proyectos legalizados en minería de materiales de construcción y oro en el departamento de Nariño</t>
  </si>
  <si>
    <t>A-1.1: Realizar control, monitoreo y seguimiento a proyectos de minería de materiales de construcción y oro</t>
  </si>
  <si>
    <t>Número de visitas de control, monitoreo y seguimiento en proyectos mineros legales de oro y materiales de construcción</t>
  </si>
  <si>
    <t>70</t>
  </si>
  <si>
    <t>Línea base: 28 expedientes legales vigentes de minería del  oro (14 con problemas de orden publico)  y 75 de  minería de materiales de construcción (19 proyectos suspendidos por la Agencia Nacional de Minería)
Seguimiento a 14 expedientes legales vigentes de minería del  oro y 56 expedientes de  minería de materiales de construcción orden.</t>
  </si>
  <si>
    <t>Desarrollar visitas de control, monitoreo y seguimiento a los proyectos mineros de oro y materiales de construcción que se encuentran en proceso de formalización en el departamento de Nariño</t>
  </si>
  <si>
    <t>P-2: Control, monitoreo y seguimiento a proyectos en proceso de formalización en minería de materiales de construcción y oro en el departamento de Nariño</t>
  </si>
  <si>
    <t xml:space="preserve">A-2.1: Realizar control, monitoreo y seguimiento a proyectos de minería de materiales de construcción y oro en proceso de formalización, en el departamento de Nariño. </t>
  </si>
  <si>
    <t xml:space="preserve">Porcentaje de proyectos de minería en proceso de formalización (oro y materiales de construcción) con monitoreo y seguimiento </t>
  </si>
  <si>
    <t>El 90% de proyectos en proceso de formalización cada vigencia debido a situaciones de orden público</t>
  </si>
  <si>
    <t>L3.71.1
L3.70.1</t>
  </si>
  <si>
    <t xml:space="preserve">Porcentaje de unidades productivas mineras ilegales de materiales de construcción bajo control y en proceso de legalización.
Porcentaje de unidades productivas mineras ilegales de metales preciosos bajo control y en proceso de legalización 
</t>
  </si>
  <si>
    <t>LE4. Consolidación de los procesos de gestión del riesgo y de adaptación y mitigación del cambio climático en armonía con la planificación del desarrollo regional</t>
  </si>
  <si>
    <t>Programa 6.Gestión del cambio climático para un desarrollo bajo en carbono y resiliente al clima</t>
  </si>
  <si>
    <t>Proyecto 6.1: Gestión integral del cambio climático</t>
  </si>
  <si>
    <t>3206 Gestión del cambio climático para un desarrollo bajo en carbono y resiliente al clima</t>
  </si>
  <si>
    <t>Fortalecer mecanismos de articulación interinstitucional que contribuyan a la incorporación de adaptación al cambio y variabilidad climática en los procesos de planificación local y regional</t>
  </si>
  <si>
    <t>P-1: Consolidación de escenarios que contribuyen a la articulación de la variable cambio climático en los instrumentos de planificación regional y local a fin de lograr una articulación con el Nodo Pacífico Sur y los lineamientos y estrategias del PIGCCT Nariño</t>
  </si>
  <si>
    <t>A-1.1: Propiciar espacios que generan acercamiento entre las diferentes instituciones para el conocimiento y la gestión conjunta</t>
  </si>
  <si>
    <t>Instancia departamental de cambio climático fortalecida</t>
  </si>
  <si>
    <t xml:space="preserve">Documento </t>
  </si>
  <si>
    <t xml:space="preserve">Mesa departamental de cambio climático </t>
  </si>
  <si>
    <t>L5.102.1</t>
  </si>
  <si>
    <t>Instancia departamental de Cambio Climático creada y fortalecida</t>
  </si>
  <si>
    <t>3206007 Servicio de articulación para la gestión del cambio climático en la toma de decisiones sectoriales y territoriales</t>
  </si>
  <si>
    <t>320600700 Espacios de articulación desarrollados en el marco del SISCLIMA</t>
  </si>
  <si>
    <t>Política Nacional de Cambio Climático</t>
  </si>
  <si>
    <t>CAPA-1) Protección de la atmosfera y el clima</t>
  </si>
  <si>
    <t>Hacia una economía carbono neutral, un territorio y una sociedad resiliente al clima.</t>
  </si>
  <si>
    <t>A-1.2: Desarrollar una estrategia para incorporar los lineamientos metodológicos del cambio climático en los instrumentos de planificación territorial regional y local</t>
  </si>
  <si>
    <t xml:space="preserve">Lineamientos metodológicos para incorporación del cambio climático en los instrumentos de planificación territorial y ambiental formulados y difundidos </t>
  </si>
  <si>
    <t xml:space="preserve">Actualización de determinantes ambientales de Corponariño con el componente de cambio climático y gestión del riesgo </t>
  </si>
  <si>
    <t>L4.83.1</t>
  </si>
  <si>
    <t>Porcentaje de instrumentos de planificación ambiental incorporan lineamientos de cambio climático</t>
  </si>
  <si>
    <t>3206002 Documentos de lineamientos técnicos para la gestión del cambio climático y un desarrollo bajo en carbono y resiliente al clima</t>
  </si>
  <si>
    <t>320600200 Documentos de lineamientos técnicos realizados</t>
  </si>
  <si>
    <t>Generar medidas de adaptación y mitigación concertadas y articuladas para atender los impactos sociales, económicos y ambientales del cambio y variabilidad climática en las comunidades vulnerables</t>
  </si>
  <si>
    <t>P-2: Implementación de acciones técnicas de cooperación en torno a la adaptación y mitigación frente al cambio climático y variabilidad climática en áreas de importancia ambiental y áreas protegidas bajo la administración de CORPONARIÑO en concertación con los actores del territorio</t>
  </si>
  <si>
    <t>A-2.1: Generar alianzas para  la implementación de medidas de adaptación y mitigación frente al cambio climático y variabilidad climática</t>
  </si>
  <si>
    <t xml:space="preserve">Alianzas para análisis de Vulnerabilidad y Riesgo por cambio climático por municipio </t>
  </si>
  <si>
    <t>L4.84.1</t>
  </si>
  <si>
    <t xml:space="preserve">Análisis de Vulnerabilidad y Riesgo por cambio climático por municipio </t>
  </si>
  <si>
    <t>3206008 Servicio de educación formal en gestión del cambio climático para un desarrollo bajo en carbono y resiliente al clima</t>
  </si>
  <si>
    <t>320600800 Número de entidades orientadas</t>
  </si>
  <si>
    <t>A-2.2: Fortalecer las capacidades de comunidades étnicas y campesinas en proyectos de bonos de carbono en articulación con el  MADS</t>
  </si>
  <si>
    <t xml:space="preserve">Número de talleres desarrollados con comunidades </t>
  </si>
  <si>
    <t>Talleres</t>
  </si>
  <si>
    <t>1</t>
  </si>
  <si>
    <t>4</t>
  </si>
  <si>
    <t>3206004 Servicio de educación informal en gestión del cambio climático para un desarrollo bajo en carbono y resiliente al clima</t>
  </si>
  <si>
    <t>320600400 Personas capacitadas en gestión del cambio climático</t>
  </si>
  <si>
    <t>A-2.3 Implementación de una estrategia interinstitucional de fortalecimiento de los grupos vigía de las áreas protegidas, incorporando elementos de gestión del riesgo climático</t>
  </si>
  <si>
    <t>Estrategia interinstitucional de fortalecimiento de grupos vigía implementada</t>
  </si>
  <si>
    <t>La estrategia se enfoca en la sensibilización de grupos vigía de la conservación en las áreas protegidas.</t>
  </si>
  <si>
    <t>LE5. Fortalecimiento de las capacidades institucionales y de la articulación y coordinación interinstitucional y comunitaria para la gestión ambiental</t>
  </si>
  <si>
    <t>Programa 9 . Fortalecimiento de la gestión y capacidad institucional de la autoridad ambiental</t>
  </si>
  <si>
    <t>Proyecto 9.1: Planeación institucional para la gestión ambiental</t>
  </si>
  <si>
    <t>3299 Fortalecimiento de la gestión y dirección del Sector Ambiente y Desarrollo Sostenible</t>
  </si>
  <si>
    <t>Formular de manera participativa y concertada el Plan de Acción Cuatrienal 2024 – 2026</t>
  </si>
  <si>
    <t>P-1: Formulación del Plan de Acción Cuatrienal 2024 – 2027</t>
  </si>
  <si>
    <t>A-1.1: Formular concertadamente el PAC de acuerdo con la normatividad vigente y lineamientos del MADS</t>
  </si>
  <si>
    <t>Documento PAC formulado  Diseñado y publicado</t>
  </si>
  <si>
    <t>3299054 Documentos de Planeación</t>
  </si>
  <si>
    <t>329905400 Documentos de planeación realizados</t>
  </si>
  <si>
    <t>A-1.2 Realizar audiencia pública y presentación a las instancias de aprobación el PAC 2024-2027</t>
  </si>
  <si>
    <t xml:space="preserve">Documento PAC socializado y aprobado </t>
  </si>
  <si>
    <t>A-1.3: Diseño y publicación del documento final del PAC 2024 – 2027</t>
  </si>
  <si>
    <t>Documento PAC Diseñado y publicado</t>
  </si>
  <si>
    <t>Realizar el Seguimiento y evaluación del Plan de acción Cuatrienal de acuerdo a la normatividad vigente</t>
  </si>
  <si>
    <t>P-2: Gestión, seguimiento y evaluación de los instrumentos para la planificación ambiental regional de acuerdo con la normatividad vigente</t>
  </si>
  <si>
    <t>A-2.1: Formular proyectos de inversión en el sector ambiental de acuerdo con los requerimiento de las fuentes de financiación en el marco de los programas del PAC</t>
  </si>
  <si>
    <t xml:space="preserve">Proyectos formulados de acuerdo con los requerimientos y metodologías  vigentes </t>
  </si>
  <si>
    <t>Al menos un proyecto para cada zona por vigencia (centro, sur, sur-occidente, norte y costa pacífica) listos para gestión en los temas de PSA e incentivos, cambio climático, restauración, energías alternativas, iniciativas municipios PDET, Sistema de vigilancia de calidad del aire para la cabecera municipal de Pasto- SVCA, restauración áreas disturbadas en el triangulo del Telembí, etc.</t>
  </si>
  <si>
    <t>3299069 Servicio de asistencia técnica</t>
  </si>
  <si>
    <t>329906900 Asistencias técnicas realizadas</t>
  </si>
  <si>
    <t xml:space="preserve">A-2.2: Apoyar la formulación de proyectos ambientales cuyas iniciativas provengan de las comunidades étnicas, campesinas, grupos organizados y municipios </t>
  </si>
  <si>
    <t xml:space="preserve">Número de iniciativas de proyectos  apoyadas en su formulación de acuerdo con los requerimientos y metodologías  vigentes </t>
  </si>
  <si>
    <t>10</t>
  </si>
  <si>
    <t>A-2.3: Crear e implementar el procedimiento de cooperación, formulación y gestión de Proyectos</t>
  </si>
  <si>
    <t xml:space="preserve">Procedimiento implementado </t>
  </si>
  <si>
    <t>3299052 Servicio de Gestión Documental</t>
  </si>
  <si>
    <t>329905215 Procesos implementados</t>
  </si>
  <si>
    <t>A-2.4: Generar espacios participativos con actores institucionales a todo nivel para el fortalecimiento institucional y complimiento de la misión institucional</t>
  </si>
  <si>
    <t xml:space="preserve">Número de espacios realizados </t>
  </si>
  <si>
    <t>Alianzas estratégicas</t>
  </si>
  <si>
    <t>A-2.5: Adelantar el seguimiento del Plan de Gestión Ambiental Regional - PGAR</t>
  </si>
  <si>
    <t>Informes de seguimiento a la ejecución del PGAR, elaborados</t>
  </si>
  <si>
    <t xml:space="preserve">Alimentación matriz PGAR por vigencia y elaboración informes bienio 2022-2023 en 2024, 2024 -2025 en 2026, y preliminar 2026- 2027 en 2027. </t>
  </si>
  <si>
    <t xml:space="preserve">329905402 Documentos de planeación con seguimiento realizado </t>
  </si>
  <si>
    <t>A-2.6: Realizar el seguimiento y evaluación de los resultados de la gestión institucional, a través del Banco de Proyectos Institucional</t>
  </si>
  <si>
    <t>Informe de seguimiento y evaluación de la ejecución del Plan de Acción Cuatrienal PAC</t>
  </si>
  <si>
    <t xml:space="preserve">Dos informes de ejecución trimestral, un informe semestral, un final por cada vigencia y un informe final consolidado del cuatrienio. </t>
  </si>
  <si>
    <t xml:space="preserve">Proyecto 9.2: Fortalecimiento del Sistema de Gestión Institucional </t>
  </si>
  <si>
    <t>Mejorar el conocimiento y aplicación de los procedimientos, su documentación y herramientas contempladas en el Sistema de Gestión Institucional</t>
  </si>
  <si>
    <t>P-1: Mantenimiento, mejora y actualización del Sistema de Gestión Institucional de acuerdo con la normatividad vigente</t>
  </si>
  <si>
    <t>A-1.1: Desarrollar las acciones requeridas para el mantenimiento, mejora y actualización de los procesos institucionales y su documentación</t>
  </si>
  <si>
    <t>Sistema de Gestión Institucional actualizado, operativizado y mejorado</t>
  </si>
  <si>
    <t>3299060 Servicio de implementación sistemas de gestión</t>
  </si>
  <si>
    <t>329906000 Sistema de gestión implementado</t>
  </si>
  <si>
    <t>A-1.2: Seguimientos a mapas de Riesgo, Servicio No Conforme y Planes de Mejora</t>
  </si>
  <si>
    <t xml:space="preserve">Número de seguimientos a mapas de Riesgo y Planes de Mejora realizados </t>
  </si>
  <si>
    <t>3299071 Servicio de actualización del Sistema de Gestión</t>
  </si>
  <si>
    <t>329907100 Sistema de gestión actualizado</t>
  </si>
  <si>
    <t>A-1.3: Adelantar el seguimiento a la conformidad del sistema de Gestión Institucional (auditorias)</t>
  </si>
  <si>
    <t xml:space="preserve">Número de auditorías ejecutadas </t>
  </si>
  <si>
    <t>Integrar en el SGI los lineamientos contemplados en la Planeación y Gestión</t>
  </si>
  <si>
    <t>P-2: Coordinación de la implementación del Modelo Integrado de Planeación y Gestión MIPG</t>
  </si>
  <si>
    <t>A-2.1: Implementar en la Corporación de manera gradual el MIPG regulado bajo el Decreto 1499 de 2017</t>
  </si>
  <si>
    <t>Porcentaje de avance de implementación de MIPG.</t>
  </si>
  <si>
    <t xml:space="preserve">Línea Base: a 2023 se cuenta con el 60% de implementación de MIPG 
2024-2027: 20% de avance de acuerdo al promedio  resultado de los autodiagnósticos del MIPG para lograr el 80%. </t>
  </si>
  <si>
    <t>Proyecto 9.3: Fortalecimiento del proceso misional gestión jurídica</t>
  </si>
  <si>
    <t>Fortalecer la gestión Jurídica para el desarrollo y asistencia a los procesos misionales de la Entidad</t>
  </si>
  <si>
    <t>P-1: Representación de la Entidad en los procesos judiciales</t>
  </si>
  <si>
    <t>A-1.1: Ejercer la representación judicial de la entidad, en los procesos judiciales</t>
  </si>
  <si>
    <t>Porcentaje de actuaciones ante estrados judiciales</t>
  </si>
  <si>
    <t>Línea base: 100% de los procesos radicados</t>
  </si>
  <si>
    <t>3299056 Documentos normativos</t>
  </si>
  <si>
    <t>329905600 Documentos normativos realizados</t>
  </si>
  <si>
    <t>Gestionar información oportuna y suficiente del proceso administrativo sancionatorio para el cumplimiento de la normatividad</t>
  </si>
  <si>
    <t>P-2: Gestión en los procesos administrativos sancionatorios</t>
  </si>
  <si>
    <t>A-2.1: Adelantar las etapas procesales de  los procesos  sancionatorios  (ley 1333 del 2009)</t>
  </si>
  <si>
    <r>
      <t>Porcentaje de procesos sancionatorios resueltos (</t>
    </r>
    <r>
      <rPr>
        <b/>
        <sz val="7"/>
        <rFont val="Arial"/>
        <family val="2"/>
      </rPr>
      <t>IMG Res. 667/16)</t>
    </r>
    <r>
      <rPr>
        <sz val="7"/>
        <rFont val="Arial"/>
        <family val="2"/>
      </rPr>
      <t xml:space="preserve"> </t>
    </r>
  </si>
  <si>
    <t>Actos administrativos de iniciación de procedimiento sancionatorio expedido</t>
  </si>
  <si>
    <t>Apoyar con asistencia jurídica a los procesos y procedimientos de gestión jurídica</t>
  </si>
  <si>
    <t>P-3: Fortalecimiento del proceso de notificación de actos administrativos de la entidad</t>
  </si>
  <si>
    <t xml:space="preserve">A-3.1: Notificar actos administrativos </t>
  </si>
  <si>
    <t xml:space="preserve">Porcentaje de actos administrativos notificados </t>
  </si>
  <si>
    <t>329905601 Actos administrativos elaborados</t>
  </si>
  <si>
    <t>Proyecto 9.4: Operación y administración de los sistemas de información de la Corporación (Ambiental y administrativo)</t>
  </si>
  <si>
    <t>Garantizar información exacta, confiable y oportuna, así como su almacenamiento de tal forma que esté disponible cuando se necesite</t>
  </si>
  <si>
    <t>P-1. Administración y operación de los sistemas de información de la entidad</t>
  </si>
  <si>
    <t>A-1.1: Adelantar la gestión , la administración y seguimiento  de los sistemas de información  de la Corporación</t>
  </si>
  <si>
    <t xml:space="preserve">Sistemas de información actualizados y en funcionamiento (BANCO, PCT,SIC, SILA - VITAL) </t>
  </si>
  <si>
    <t>3299063 Servicios de información implementados</t>
  </si>
  <si>
    <t>329906300 Sistemas de información implementados</t>
  </si>
  <si>
    <t>A-1.2: Operar y generar información a partir del sistema de información geográfica</t>
  </si>
  <si>
    <t>Porcentaje de solicitudes atendidas para generación de cartografía por sobrevuelo Drones</t>
  </si>
  <si>
    <t xml:space="preserve">A-1.3: Desarrollar e implementar herramientas tecnológicas como apoyo a la operativización de los procesos misionales </t>
  </si>
  <si>
    <t>Número de herramientas tecnológicas desarrolladas o adaptadas implementadas como apoyo a los procesos misionales</t>
  </si>
  <si>
    <t xml:space="preserve">SIC , PCT, SILA-VITAL, GESTOR </t>
  </si>
  <si>
    <t>3299062 Servicios de información actualizados</t>
  </si>
  <si>
    <t>329906200 Sistemas de información para la gestión administrativa actualizados</t>
  </si>
  <si>
    <t>Articular la estrategia GEL y la Gestión Institucional al servicio de los usuarios a través de medios electrónicos</t>
  </si>
  <si>
    <t>P-2: Articulación con la Estrategia de Gobierno en Línea</t>
  </si>
  <si>
    <t xml:space="preserve">A-2.1: Planificar y desarrollar el plan de actividades para implementar los componentes de la estrategia en gobierno en línea a partir del autodiagnóstico institucional. </t>
  </si>
  <si>
    <t xml:space="preserve">Porcentaje de avance en los niveles de la estrategia de gobierno en línea </t>
  </si>
  <si>
    <t>Línea base 60%</t>
  </si>
  <si>
    <t>3299064 Documento para la planeación estratégica en TI</t>
  </si>
  <si>
    <t xml:space="preserve">329906400 Documentos para la planeación estratégica en TI </t>
  </si>
  <si>
    <t xml:space="preserve">A-2.2: Alimentar y actualizar la base de datos del Geovisor </t>
  </si>
  <si>
    <t xml:space="preserve">Porcentaje de avance en la revisión, la depuración y alimentación del Geovisor </t>
  </si>
  <si>
    <t>Proyecto 9.5: Seguimiento y evaluación del SCI, la gestión operativa y las funciones de aseguramiento de la entidad</t>
  </si>
  <si>
    <t>Ejecutar las funciones asignadas a la Oficina de Control Interno</t>
  </si>
  <si>
    <t>P-1: Operativización de los roles de control interno asignados por la normatividad legal vigente</t>
  </si>
  <si>
    <t>A-1.1: Elaborar y presentar los informes y seguimientos de Ley</t>
  </si>
  <si>
    <t xml:space="preserve">Porcentaje de informes de control interno, elaborados, publicados y socializados </t>
  </si>
  <si>
    <t>329906002 Informe final de implementación</t>
  </si>
  <si>
    <t>A-1.2: Realizar las auditorias, seguimientos y actividades establecidas en el Plan Anual de Auditorias</t>
  </si>
  <si>
    <t>Número de auditorias, seguimientos y actividades ejecutadas</t>
  </si>
  <si>
    <t>Informe</t>
  </si>
  <si>
    <t xml:space="preserve"> A-1.3: Jornadas de sensibilización a los comités institucionales sobre la articulación del sistema de control interno y el control externo</t>
  </si>
  <si>
    <t>Jornadas de sensibilización en temas de control interno</t>
  </si>
  <si>
    <t>3299058 Servicio de educación informal para la gestión administrativa</t>
  </si>
  <si>
    <t>329905801 Capacitaciones realizadas</t>
  </si>
  <si>
    <t xml:space="preserve">A-1.4: Seguimiento al plan de mejoramiento institucional como herramienta de prevención
 </t>
  </si>
  <si>
    <t>Número de acciones de mejora cumplidas/Número de acciones formuladas y registradas</t>
  </si>
  <si>
    <t>Proyecto 9.6: Fortalecimiento de la capacidad institucional para el cumplimiento de la misión corporativa</t>
  </si>
  <si>
    <t>Fortalecimiento de la infraestructura física y locativa de las sedes administrativas para mejorar la prestación del servicio</t>
  </si>
  <si>
    <t xml:space="preserve">P-1: Fortalecimiento de la infraestructura física y locativa de las sedes de la entidad </t>
  </si>
  <si>
    <t xml:space="preserve">A-1.1: Mejorar las condiciones locativas y de infraestructura de las sedes priorizadas para cada vigencia </t>
  </si>
  <si>
    <t xml:space="preserve">Porcentaje de sedes mejoradas con respecto a las priorizadas </t>
  </si>
  <si>
    <t xml:space="preserve">Sede: Central, Chimayoy y Guiarapungo en Pasto; Ipiales, Los Andes - Sotomayor, El Charco </t>
  </si>
  <si>
    <t>3299016 Sedes mantenidas</t>
  </si>
  <si>
    <t>329901600 Sedes mantenidas</t>
  </si>
  <si>
    <t>A-1.2: Adquirir y/o construir sede propia en una de las regionales de la entidad</t>
  </si>
  <si>
    <t>Sede adquirida y/o construida</t>
  </si>
  <si>
    <t xml:space="preserve">Centro Ambiental Sur Occidente - Municipios de Túquerers </t>
  </si>
  <si>
    <t>3299009 Sedes construidas</t>
  </si>
  <si>
    <t>329900900 Sedes construidas</t>
  </si>
  <si>
    <t>Fortalecimiento del sistema atención al usuario</t>
  </si>
  <si>
    <t>P-2: Fortalecimiento de proceso de atención al público en línea con la estrategia de relacionamiento con la ciudadanía</t>
  </si>
  <si>
    <t>A-2.1: Formular la estrategia de relacionamiento con la ciudadanía de forma colaborativa en la entidad y avanzar en su implementación.</t>
  </si>
  <si>
    <t xml:space="preserve">Estrategia de relacionamiento con la ciudadanía formulada y en implementación </t>
  </si>
  <si>
    <t xml:space="preserve">329906302 Usuarios con soporte funcional </t>
  </si>
  <si>
    <t>Fortalecimiento y mantenimiento del sistema de seguridad y salud en el trabajo</t>
  </si>
  <si>
    <t>P-3: Fortalecimiento del Sistema de gestión, de seguridad y salud en el trabajo</t>
  </si>
  <si>
    <t>A-3.1: Planificar, ejecutar y mantener el Sistema de Gestión de Seguridad y Salud en el Trabajo</t>
  </si>
  <si>
    <t xml:space="preserve">Programa anual diseñado y ejecutado (Sistema de Seguridad y Salud en el Trabajo) </t>
  </si>
  <si>
    <t>P-4:  Implementación, operativización y mejora del Sistema de Gestión Ambiental, bajo la norma ISO 14001:2015 en la sede central</t>
  </si>
  <si>
    <t>A-4.1: Desarrollar las acciones requeridas para la implementación, operativización y mejora del Sistema de Gestión Ambiental, bajo la norma ISO 14001:2015</t>
  </si>
  <si>
    <t xml:space="preserve">Número de programas desarrollados por vigencia </t>
  </si>
  <si>
    <t>Ejecución de los programas ambientales institucionales (Ahorro y uso eficiente de agua, ahorro y uso eficiente de energía, gestión y manejo integral de residuos, eficiencia administrativa y uso racional de papel, control y manejo de vertimientos)
2024- 2027:5 (1 por año)</t>
  </si>
  <si>
    <t>Fortalecimiento del proceso Gestión Documental</t>
  </si>
  <si>
    <t xml:space="preserve">P-5: Creación  e implementación del  sistema de gestión documental </t>
  </si>
  <si>
    <t xml:space="preserve">A-5.1: Elaborar el plan de implementación del sistema de gestión documental </t>
  </si>
  <si>
    <t>Porcentaje de formulación del plan</t>
  </si>
  <si>
    <t>329905200 Sistema de gestión documental implementado</t>
  </si>
  <si>
    <t>A-5.2: Desarrollar las acciones requeridas para la operativización, mantenimiento y mejora del sistema de Gestión Documental</t>
  </si>
  <si>
    <t xml:space="preserve">Número de programas  del sistema de gestión documental implementado </t>
  </si>
  <si>
    <t xml:space="preserve">A-5.3: Adquirir, implementar y operar software de gestión documental </t>
  </si>
  <si>
    <t>Porcentaje de implementación de software de gestión documental</t>
  </si>
  <si>
    <t>329905212 Esquemas para el manejo y organización de documentos e información implementados</t>
  </si>
  <si>
    <t xml:space="preserve">A-5.4: Formular, aprobar e incorporar en el SGI el proceso de gestión documental  </t>
  </si>
  <si>
    <t>Número de procesos formulados, aprobados e incorporados en el SGI</t>
  </si>
  <si>
    <t>A-5.5: Fortalecer la implementación de instrumentos archivísticos (Tablas de retención documental)</t>
  </si>
  <si>
    <t xml:space="preserve">Tablas de retención documental aprobadas, socializadas e implementadas </t>
  </si>
  <si>
    <t>A-5.6: Fortalecer la implementación de instrumentos archivísticos (Formulación, aprobación y ejecución del Plan de conservación documental)</t>
  </si>
  <si>
    <t>Plan de conservación documental implementado</t>
  </si>
  <si>
    <t>329905214 Instrumentos archivísticos creados</t>
  </si>
  <si>
    <t>A-5.7: Fortalecer la implementación de instrumentos archivísticos (formulación del proyecto de tablas de valoración documental)</t>
  </si>
  <si>
    <t>Número de proyectos de valoración documental aprobados</t>
  </si>
  <si>
    <t>329905213 Instrumentos archivísticos actualizados</t>
  </si>
  <si>
    <t>P-6: Creación e implementación del procedimiento de ingresos de la corporación</t>
  </si>
  <si>
    <t>A-6.1: Crear e implementar el procedimiento de ingresos en articulación con el procedimiento de recaudo, facturación y cartera</t>
  </si>
  <si>
    <t>Procedimiento actualizado e implementado</t>
  </si>
  <si>
    <t xml:space="preserve">A-6.2: Diseñar y desarrollar la aplicación requerida como base de datos de usuarios objeto de cobro </t>
  </si>
  <si>
    <t>Base de datos de usuarios objeto de cobro creada</t>
  </si>
  <si>
    <t xml:space="preserve">A-6.3: Implementar y actualizar gradualmente la  base de datos de usuarios objeto de cobro articulado con el proceso LPAA </t>
  </si>
  <si>
    <t>Actualización de Base de datos de usuarios objeto de cobro</t>
  </si>
  <si>
    <t>P-7: Formulación del Plan Estratégico de Fortalecimiento Institucional</t>
  </si>
  <si>
    <t xml:space="preserve">A-7.1: Adelantar la estructuración del  Plan Estratégico de Fortalecimiento Institucional, incorporando el proyecto de restructuración de la entidad </t>
  </si>
  <si>
    <t xml:space="preserve">Plan Formulado </t>
  </si>
  <si>
    <t>Proyecto  9.7: Fortalecimiento de las acciones de recaudo y gestión por proyecto</t>
  </si>
  <si>
    <t>Incrementar la capacidad institucional para abordar los procedimientos de cobro coactivo y persuasivo</t>
  </si>
  <si>
    <t>P-1: Mejoramiento de Ingresos Cobro coactivo y persuasivo</t>
  </si>
  <si>
    <t xml:space="preserve">A-1.1: Implementar acciones enfocadas a mejorar el recaudo </t>
  </si>
  <si>
    <t>Porcentaje de tiempo promedio en resolver una actuación</t>
  </si>
  <si>
    <t>GUITARA - 52001-23-33-2017-0639-00</t>
  </si>
  <si>
    <t>A-1.2: Ejecutar acciones procesales pertinentes para el recaudo de las obligaciones objeto de cobro de los procesos administrativos de Cobro Coactivo.</t>
  </si>
  <si>
    <t>Porcentaje de expedientes para adelantar actuaciones tramitados</t>
  </si>
  <si>
    <t xml:space="preserve">A-1.3: Oficiar cobro coactivo a los municipios deudores o morosos por concepto de Tasa Retributiva </t>
  </si>
  <si>
    <t>Número solicitudes de cobro coactivo en el marco de la sentencia de Guáitara.</t>
  </si>
  <si>
    <t>33</t>
  </si>
  <si>
    <t>Proyecto 9.8: Fortalecimiento de la comunicación institucional y la participación ciudadana</t>
  </si>
  <si>
    <t>Fortalecer el proceso de comunicación institucional y la participación ciudadana</t>
  </si>
  <si>
    <t>P-1: Fortalecimiento del procedimiento de comunicación institucional</t>
  </si>
  <si>
    <t xml:space="preserve">A-1.1: Adelantar las acciones pertinentes para fortalecer la comunicación institucional a nivel interno  </t>
  </si>
  <si>
    <t>Estrategia de comunicación institucional operativizada en la entidad</t>
  </si>
  <si>
    <t xml:space="preserve">Asociar indicadores del procedimiento para seguimiento </t>
  </si>
  <si>
    <t>A-1.2: Adelantar las acciones pertinentes para fortalecer la comunicación institucional a nivel externo</t>
  </si>
  <si>
    <t>Plan de medios ejecutado</t>
  </si>
  <si>
    <t>P-2: Formulación e implementación de la estrategia de participación ciudadana</t>
  </si>
  <si>
    <t xml:space="preserve">A-2.1: Diseñar la estrategia de información y participación ciudadana </t>
  </si>
  <si>
    <t xml:space="preserve">Documento conceptual y metodológico de la estrategia elaborado </t>
  </si>
  <si>
    <t xml:space="preserve">A-2.2: Implementar y documentar la ejecución de la estrategia de participación ciudadana </t>
  </si>
  <si>
    <t xml:space="preserve">Porcentaje de acciones planificadas de la estrategia de participación ciudadana ejecutadas </t>
  </si>
  <si>
    <t>LE6. Fortalecimiento de la generación de conocimiento e información para la gestión integral de la biodiversidad y los servicios ecosistémicos</t>
  </si>
  <si>
    <t>Programa 4 Gestión de la información y el conocimiento ambiental</t>
  </si>
  <si>
    <t>Proyecto 4.1: Mantenimiento, operación y mejora del laboratorio de calidad ambiental bajo la norma NTC ISO/IEC 17025</t>
  </si>
  <si>
    <t>3204 Gestión de la información y el conocimiento ambiental</t>
  </si>
  <si>
    <t>Realizar las jornadas de toma de muestras, análisis y generación de reportes de resultados en matriz agua.</t>
  </si>
  <si>
    <t>P-1: Fortalecimiento de laboratorio de calidad ambiental</t>
  </si>
  <si>
    <t xml:space="preserve">A-1.1: Proveer el  laboratorio de calidad ambiental del personal, insumos  y equipos necesarios para su operación </t>
  </si>
  <si>
    <t>Laboratorio  dotado y en operación.</t>
  </si>
  <si>
    <t>3204052 Laboratorio de calidad ambiental acreditado</t>
  </si>
  <si>
    <t>320405201 Documento de buenas prácticas de laboratorio (BPL) implementado</t>
  </si>
  <si>
    <t>A-1.2: Cumplir el proceso de aseguramiento de la calidad y la documentación e implementación del sistema de calidad del laboratorio</t>
  </si>
  <si>
    <t xml:space="preserve">Porcentaje de avance de cumplimiento del  procedimiento de aseguramiento de calidad e implementación y seguimiento del sistema de calidad </t>
  </si>
  <si>
    <t>320405200 Laboratorio de calidad ambiental acreditado</t>
  </si>
  <si>
    <t>P-2: Reportes de resultados confiables bajo el marco de la norma NTC ISO/IEC 17025 y el sistema de gestión institucional</t>
  </si>
  <si>
    <t>A-2.1: Realizar toma de muestras en matriz agua</t>
  </si>
  <si>
    <t>Porcentaje de muestras tomadas o aforadas de acuerdo a los procedimientos establecidos en el laboratorio</t>
  </si>
  <si>
    <t xml:space="preserve">100% muestras  programadas en cada periodo </t>
  </si>
  <si>
    <t xml:space="preserve">A-2.2: Analizar y reportar resultados correspondientes a muestras en matriz agua
</t>
  </si>
  <si>
    <t>Porcentaje de muestras analizadas y reportes emitidos bajo los requisitos establecidos en la NTC-ISO IEC17025</t>
  </si>
  <si>
    <t>TOTAL GASTOS</t>
  </si>
  <si>
    <t>TOTAL SIN FCA INV Y OTRAS FUENTES</t>
  </si>
  <si>
    <t>TOTAL INGRESOS SIN OTRAS FUENTES</t>
  </si>
  <si>
    <t>SALDO</t>
  </si>
  <si>
    <t>2024-2027. tres campañas: actuando por el cambio, conservando el agua para el buen vivir y Nariño territorio de vida silvestre. 
Sentencia Guáitara: Resolución declaratoria DÍA DEL RÍO GUÁITARA (2024);  Jornadas Cívicas en 33 municipios (institucionalizado 23 de marzo limpieza de rondas hídricas, 15 de junio: exposiciones y conferencias, 20 de noviembre: siembra de árboles y ciclo paseos) 
Acción Popular La Cocha: 8 charlas en el marco de la campaña “Nariño territorio de Vida Silvestre”. 
Sentencia Amazonía: Adelantar procesos de sensibilización en el marco de las campañas institucionales en articulación con CIDEA y dinamizadores ambientales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</si>
</sst>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6" formatCode="&quot;$&quot;\ #,##0;[Red]\-&quot;$&quot;\ #,##0"/>
    <numFmt numFmtId="44" formatCode="_-&quot;$&quot;\ * #,##0.00_-;\-&quot;$&quot;\ * #,##0.00_-;_-&quot;$&quot;\ * &quot;-&quot;??_-;_-@_-"/>
    <numFmt numFmtId="43" formatCode="_-* #,##0.00_-;\-* #,##0.00_-;_-* &quot;-&quot;??_-;_-@_-"/>
    <numFmt numFmtId="164" formatCode="_-* #,##0.00\ _€_-;\-* #,##0.00\ _€_-;_-* &quot;-&quot;??\ _€_-;_-@_-"/>
    <numFmt numFmtId="165" formatCode="_ * #,##0_ ;_ * \-#,##0_ ;_ * &quot;-&quot;??_ ;_ @_ "/>
    <numFmt numFmtId="166" formatCode="#,##0_ ;\-#,##0\ "/>
    <numFmt numFmtId="167" formatCode="_-&quot;$&quot;\ * #,##0_-;\-&quot;$&quot;\ * #,##0_-;_-&quot;$&quot;\ * &quot;-&quot;??_-;_-@_-"/>
    <numFmt numFmtId="168" formatCode="_-* #,##0.000_-;\-* #,##0.000_-;_-* &quot;-&quot;??_-;_-@_-"/>
    <numFmt numFmtId="169" formatCode="#,##0.0_ ;\-#,##0.0\ "/>
    <numFmt numFmtId="170" formatCode="_-* #,##0_-;\-* #,##0_-;_-* &quot;-&quot;??_-;_-@_-"/>
  </numFmts>
  <fonts count="22" x14ac:knownFonts="1">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7"/>
      <color theme="0"/>
      <name val="Arial"/>
      <family val="2"/>
    </font>
    <font>
      <sz val="7"/>
      <color theme="0"/>
      <name val="Arial"/>
      <family val="2"/>
    </font>
    <font>
      <sz val="7"/>
      <name val="Arial"/>
      <family val="2"/>
    </font>
    <font>
      <b/>
      <sz val="7"/>
      <name val="Arial"/>
      <family val="2"/>
    </font>
    <font>
      <b/>
      <sz val="7"/>
      <color theme="1"/>
      <name val="Arial"/>
      <family val="2"/>
    </font>
    <font>
      <sz val="7"/>
      <color rgb="FFFF0000"/>
      <name val="Arial"/>
      <family val="2"/>
    </font>
    <font>
      <sz val="7"/>
      <color theme="1"/>
      <name val="Arial"/>
      <family val="2"/>
    </font>
    <font>
      <sz val="7"/>
      <color theme="1" tint="4.9989318521683403E-2"/>
      <name val="Arial"/>
      <family val="2"/>
    </font>
    <font>
      <b/>
      <sz val="7"/>
      <color theme="1" tint="4.9989318521683403E-2"/>
      <name val="Arial"/>
      <family val="2"/>
    </font>
    <font>
      <sz val="7"/>
      <color theme="6" tint="-0.499984740745262"/>
      <name val="Arial"/>
      <family val="2"/>
    </font>
    <font>
      <sz val="10"/>
      <color theme="0"/>
      <name val="Arial"/>
      <family val="2"/>
    </font>
    <font>
      <b/>
      <sz val="7"/>
      <color rgb="FFFF0000"/>
      <name val="Arial"/>
      <family val="2"/>
    </font>
    <font>
      <b/>
      <sz val="10"/>
      <color theme="1"/>
      <name val="Arial"/>
      <family val="2"/>
    </font>
    <font>
      <b/>
      <sz val="9"/>
      <color indexed="81"/>
      <name val="Tahoma"/>
      <family val="2"/>
    </font>
    <font>
      <sz val="9"/>
      <color indexed="81"/>
      <name val="Tahoma"/>
      <family val="2"/>
    </font>
    <font>
      <b/>
      <sz val="9"/>
      <color indexed="81"/>
      <name val="Tahoma"/>
      <charset val="1"/>
    </font>
    <font>
      <b/>
      <sz val="10"/>
      <color indexed="81"/>
      <name val="Tahoma"/>
      <family val="2"/>
    </font>
    <font>
      <sz val="10"/>
      <color indexed="81"/>
      <name val="Tahoma"/>
      <family val="2"/>
    </font>
  </fonts>
  <fills count="7">
    <fill>
      <patternFill patternType="none"/>
    </fill>
    <fill>
      <patternFill patternType="gray125"/>
    </fill>
    <fill>
      <patternFill patternType="solid">
        <fgColor theme="6" tint="-0.499984740745262"/>
        <bgColor indexed="64"/>
      </patternFill>
    </fill>
    <fill>
      <patternFill patternType="solid">
        <fgColor theme="6" tint="0.59999389629810485"/>
        <bgColor indexed="64"/>
      </patternFill>
    </fill>
    <fill>
      <patternFill patternType="solid">
        <fgColor rgb="FFFFFF00"/>
        <bgColor indexed="64"/>
      </patternFill>
    </fill>
    <fill>
      <patternFill patternType="solid">
        <fgColor theme="0"/>
        <bgColor indexed="64"/>
      </patternFill>
    </fill>
    <fill>
      <patternFill patternType="solid">
        <fgColor theme="9" tint="-0.499984740745262"/>
        <bgColor indexed="64"/>
      </patternFill>
    </fill>
  </fills>
  <borders count="19">
    <border>
      <left/>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style="thin">
        <color indexed="64"/>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medium">
        <color indexed="64"/>
      </bottom>
      <diagonal/>
    </border>
    <border>
      <left/>
      <right/>
      <top style="medium">
        <color indexed="64"/>
      </top>
      <bottom style="medium">
        <color indexed="64"/>
      </bottom>
      <diagonal/>
    </border>
  </borders>
  <cellStyleXfs count="3">
    <xf numFmtId="0" fontId="0" fillId="0" borderId="0"/>
    <xf numFmtId="164" fontId="1" fillId="0" borderId="0" applyFont="0" applyFill="0" applyBorder="0" applyAlignment="0" applyProtection="0"/>
    <xf numFmtId="44" fontId="1" fillId="0" borderId="0" applyFont="0" applyFill="0" applyBorder="0" applyAlignment="0" applyProtection="0"/>
  </cellStyleXfs>
  <cellXfs count="328">
    <xf numFmtId="0" fontId="0" fillId="0" borderId="0" xfId="0"/>
    <xf numFmtId="0" fontId="3" fillId="0" borderId="0" xfId="0" applyFont="1"/>
    <xf numFmtId="0" fontId="5" fillId="0" borderId="0" xfId="0" applyFont="1" applyAlignment="1">
      <alignment horizontal="center" vertical="center"/>
    </xf>
    <xf numFmtId="0" fontId="5" fillId="2" borderId="0" xfId="0" applyFont="1" applyFill="1" applyAlignment="1">
      <alignment horizontal="center" vertical="center"/>
    </xf>
    <xf numFmtId="165" fontId="4" fillId="3" borderId="6" xfId="1" applyNumberFormat="1" applyFont="1" applyFill="1" applyBorder="1" applyAlignment="1" applyProtection="1">
      <alignment horizontal="center" vertical="center" wrapText="1"/>
    </xf>
    <xf numFmtId="165" fontId="4" fillId="3" borderId="2" xfId="1" applyNumberFormat="1" applyFont="1" applyFill="1" applyBorder="1" applyAlignment="1" applyProtection="1">
      <alignment horizontal="center" vertical="center" wrapText="1"/>
    </xf>
    <xf numFmtId="165" fontId="4" fillId="3" borderId="13" xfId="1" applyNumberFormat="1" applyFont="1" applyFill="1" applyBorder="1" applyAlignment="1" applyProtection="1">
      <alignment horizontal="center" vertical="center" wrapText="1"/>
    </xf>
    <xf numFmtId="165" fontId="4" fillId="3" borderId="14" xfId="1" applyNumberFormat="1" applyFont="1" applyFill="1" applyBorder="1" applyAlignment="1" applyProtection="1">
      <alignment horizontal="center" vertical="center" wrapText="1"/>
    </xf>
    <xf numFmtId="3" fontId="4" fillId="3" borderId="2" xfId="1" applyNumberFormat="1" applyFont="1" applyFill="1" applyBorder="1" applyAlignment="1" applyProtection="1">
      <alignment horizontal="center" vertical="center" wrapText="1"/>
    </xf>
    <xf numFmtId="3" fontId="4" fillId="3" borderId="11" xfId="1" applyNumberFormat="1" applyFont="1" applyFill="1" applyBorder="1" applyAlignment="1" applyProtection="1">
      <alignment horizontal="right" vertical="center" wrapText="1"/>
    </xf>
    <xf numFmtId="165" fontId="4" fillId="3" borderId="2" xfId="1" applyNumberFormat="1" applyFont="1" applyFill="1" applyBorder="1" applyAlignment="1" applyProtection="1">
      <alignment horizontal="left" vertical="center" wrapText="1"/>
    </xf>
    <xf numFmtId="165" fontId="4" fillId="3" borderId="11" xfId="1" applyNumberFormat="1" applyFont="1" applyFill="1" applyBorder="1" applyAlignment="1" applyProtection="1">
      <alignment vertical="center" wrapText="1"/>
    </xf>
    <xf numFmtId="165" fontId="4" fillId="3" borderId="11" xfId="1" applyNumberFormat="1" applyFont="1" applyFill="1" applyBorder="1" applyAlignment="1" applyProtection="1">
      <alignment horizontal="center" vertical="center" wrapText="1"/>
    </xf>
    <xf numFmtId="0" fontId="4" fillId="3" borderId="11" xfId="0" applyFont="1" applyFill="1" applyBorder="1" applyAlignment="1">
      <alignment horizontal="center" vertical="center"/>
    </xf>
    <xf numFmtId="0" fontId="4" fillId="3" borderId="11" xfId="0" applyFont="1" applyFill="1" applyBorder="1" applyAlignment="1">
      <alignment horizontal="center" vertical="center" wrapText="1"/>
    </xf>
    <xf numFmtId="164" fontId="4" fillId="3" borderId="12" xfId="1" applyFont="1" applyFill="1" applyBorder="1" applyAlignment="1">
      <alignment horizontal="center" vertical="center"/>
    </xf>
    <xf numFmtId="164" fontId="4" fillId="3" borderId="9" xfId="1" applyFont="1" applyFill="1" applyBorder="1" applyAlignment="1" applyProtection="1">
      <alignment horizontal="center" vertical="center" wrapText="1"/>
    </xf>
    <xf numFmtId="164" fontId="4" fillId="3" borderId="9" xfId="1" applyFont="1" applyFill="1" applyBorder="1" applyAlignment="1">
      <alignment horizontal="center" vertical="center"/>
    </xf>
    <xf numFmtId="0" fontId="4" fillId="3" borderId="9" xfId="0" applyFont="1" applyFill="1" applyBorder="1" applyAlignment="1">
      <alignment horizontal="center" vertical="center" wrapText="1"/>
    </xf>
    <xf numFmtId="0" fontId="4" fillId="3" borderId="9" xfId="0" applyFont="1" applyFill="1" applyBorder="1" applyAlignment="1">
      <alignment horizontal="center" vertical="center"/>
    </xf>
    <xf numFmtId="0" fontId="5" fillId="3" borderId="9" xfId="0" applyFont="1" applyFill="1" applyBorder="1" applyAlignment="1">
      <alignment horizontal="left"/>
    </xf>
    <xf numFmtId="0" fontId="5" fillId="3" borderId="9" xfId="0" applyFont="1" applyFill="1" applyBorder="1"/>
    <xf numFmtId="0" fontId="5" fillId="0" borderId="0" xfId="0" applyFont="1"/>
    <xf numFmtId="0" fontId="5" fillId="4" borderId="0" xfId="0" applyFont="1" applyFill="1"/>
    <xf numFmtId="165" fontId="4" fillId="0" borderId="6" xfId="1" applyNumberFormat="1" applyFont="1" applyFill="1" applyBorder="1" applyAlignment="1" applyProtection="1">
      <alignment horizontal="center" vertical="center" wrapText="1"/>
    </xf>
    <xf numFmtId="165" fontId="4" fillId="0" borderId="2" xfId="1" applyNumberFormat="1" applyFont="1" applyFill="1" applyBorder="1" applyAlignment="1" applyProtection="1">
      <alignment horizontal="center" vertical="center" wrapText="1"/>
    </xf>
    <xf numFmtId="165" fontId="4" fillId="0" borderId="13" xfId="1" applyNumberFormat="1" applyFont="1" applyFill="1" applyBorder="1" applyAlignment="1" applyProtection="1">
      <alignment horizontal="center" vertical="center" wrapText="1"/>
    </xf>
    <xf numFmtId="165" fontId="6" fillId="0" borderId="11" xfId="1" applyNumberFormat="1" applyFont="1" applyFill="1" applyBorder="1" applyAlignment="1" applyProtection="1">
      <alignment vertical="center" wrapText="1"/>
    </xf>
    <xf numFmtId="165" fontId="6" fillId="0" borderId="11" xfId="1" applyNumberFormat="1" applyFont="1" applyFill="1" applyBorder="1" applyAlignment="1" applyProtection="1">
      <alignment horizontal="center" vertical="center" wrapText="1"/>
    </xf>
    <xf numFmtId="165" fontId="5" fillId="0" borderId="9" xfId="1" applyNumberFormat="1" applyFont="1" applyFill="1" applyBorder="1" applyAlignment="1" applyProtection="1">
      <alignment horizontal="center" vertical="center" wrapText="1"/>
    </xf>
    <xf numFmtId="165" fontId="5" fillId="0" borderId="9" xfId="1" applyNumberFormat="1" applyFont="1" applyFill="1" applyBorder="1" applyAlignment="1" applyProtection="1">
      <alignment horizontal="left" vertical="center" wrapText="1"/>
    </xf>
    <xf numFmtId="165" fontId="5" fillId="0" borderId="2" xfId="1" applyNumberFormat="1" applyFont="1" applyFill="1" applyBorder="1" applyAlignment="1" applyProtection="1">
      <alignment horizontal="left" vertical="center" wrapText="1"/>
    </xf>
    <xf numFmtId="3" fontId="4" fillId="0" borderId="2" xfId="1" applyNumberFormat="1" applyFont="1" applyFill="1" applyBorder="1" applyAlignment="1" applyProtection="1">
      <alignment horizontal="center" vertical="center" wrapText="1"/>
    </xf>
    <xf numFmtId="3" fontId="4" fillId="0" borderId="11" xfId="1" applyNumberFormat="1" applyFont="1" applyFill="1" applyBorder="1" applyAlignment="1" applyProtection="1">
      <alignment horizontal="right" vertical="center" wrapText="1"/>
    </xf>
    <xf numFmtId="165" fontId="4" fillId="0" borderId="2" xfId="1" applyNumberFormat="1" applyFont="1" applyFill="1" applyBorder="1" applyAlignment="1" applyProtection="1">
      <alignment horizontal="left" vertical="center" wrapText="1"/>
    </xf>
    <xf numFmtId="165" fontId="4" fillId="0" borderId="11" xfId="1" applyNumberFormat="1" applyFont="1" applyFill="1" applyBorder="1" applyAlignment="1" applyProtection="1">
      <alignment vertical="center" wrapText="1"/>
    </xf>
    <xf numFmtId="165" fontId="4" fillId="0" borderId="11" xfId="1" applyNumberFormat="1" applyFont="1" applyFill="1" applyBorder="1" applyAlignment="1" applyProtection="1">
      <alignment horizontal="center" vertical="center" wrapText="1"/>
    </xf>
    <xf numFmtId="164" fontId="4" fillId="0" borderId="11" xfId="1" applyFont="1" applyFill="1" applyBorder="1" applyAlignment="1" applyProtection="1">
      <alignment horizontal="center" vertical="center" wrapText="1"/>
    </xf>
    <xf numFmtId="164" fontId="4" fillId="0" borderId="11" xfId="1" applyFont="1" applyFill="1" applyBorder="1" applyAlignment="1">
      <alignment horizontal="right" vertical="center"/>
    </xf>
    <xf numFmtId="164" fontId="4" fillId="0" borderId="11" xfId="1" applyFont="1" applyFill="1" applyBorder="1" applyAlignment="1">
      <alignment horizontal="right" vertical="center" wrapText="1"/>
    </xf>
    <xf numFmtId="164" fontId="4" fillId="0" borderId="12" xfId="1" applyFont="1" applyFill="1" applyBorder="1" applyAlignment="1">
      <alignment horizontal="right" vertical="center"/>
    </xf>
    <xf numFmtId="164" fontId="4" fillId="0" borderId="9" xfId="1" applyFont="1" applyFill="1" applyBorder="1" applyAlignment="1" applyProtection="1">
      <alignment horizontal="right" vertical="center" wrapText="1"/>
    </xf>
    <xf numFmtId="164" fontId="4" fillId="0" borderId="9" xfId="1" applyFont="1" applyFill="1" applyBorder="1" applyAlignment="1">
      <alignment horizontal="right" vertical="center" wrapText="1"/>
    </xf>
    <xf numFmtId="164" fontId="4" fillId="0" borderId="9" xfId="1" applyFont="1" applyFill="1" applyBorder="1" applyAlignment="1">
      <alignment horizontal="right" vertical="center"/>
    </xf>
    <xf numFmtId="0" fontId="5" fillId="0" borderId="9" xfId="0" applyFont="1" applyBorder="1" applyAlignment="1">
      <alignment horizontal="left"/>
    </xf>
    <xf numFmtId="0" fontId="5" fillId="0" borderId="9" xfId="0" applyFont="1" applyBorder="1"/>
    <xf numFmtId="0" fontId="5" fillId="0" borderId="0" xfId="0" applyFont="1" applyAlignment="1">
      <alignment wrapText="1"/>
    </xf>
    <xf numFmtId="165" fontId="7" fillId="0" borderId="6" xfId="1" applyNumberFormat="1" applyFont="1" applyFill="1" applyBorder="1" applyAlignment="1" applyProtection="1">
      <alignment horizontal="center" vertical="center" wrapText="1"/>
    </xf>
    <xf numFmtId="165" fontId="7" fillId="0" borderId="2" xfId="1" applyNumberFormat="1" applyFont="1" applyFill="1" applyBorder="1" applyAlignment="1" applyProtection="1">
      <alignment horizontal="center" vertical="center" wrapText="1"/>
    </xf>
    <xf numFmtId="165" fontId="7" fillId="0" borderId="13" xfId="1" applyNumberFormat="1" applyFont="1" applyFill="1" applyBorder="1" applyAlignment="1" applyProtection="1">
      <alignment horizontal="center" vertical="center" wrapText="1"/>
    </xf>
    <xf numFmtId="165" fontId="6" fillId="0" borderId="2" xfId="1" applyNumberFormat="1" applyFont="1" applyFill="1" applyBorder="1" applyAlignment="1" applyProtection="1">
      <alignment vertical="center" wrapText="1"/>
    </xf>
    <xf numFmtId="165" fontId="6" fillId="0" borderId="2" xfId="1" applyNumberFormat="1" applyFont="1" applyFill="1" applyBorder="1" applyAlignment="1" applyProtection="1">
      <alignment horizontal="center" vertical="center" wrapText="1"/>
    </xf>
    <xf numFmtId="165" fontId="6" fillId="0" borderId="9" xfId="1" applyNumberFormat="1" applyFont="1" applyFill="1" applyBorder="1" applyAlignment="1" applyProtection="1">
      <alignment horizontal="center" vertical="center" wrapText="1"/>
    </xf>
    <xf numFmtId="165" fontId="6" fillId="0" borderId="9" xfId="1" applyNumberFormat="1" applyFont="1" applyFill="1" applyBorder="1" applyAlignment="1" applyProtection="1">
      <alignment horizontal="left" vertical="center" wrapText="1"/>
    </xf>
    <xf numFmtId="165" fontId="6" fillId="0" borderId="2" xfId="1" applyNumberFormat="1" applyFont="1" applyFill="1" applyBorder="1" applyAlignment="1" applyProtection="1">
      <alignment horizontal="left" vertical="center" wrapText="1"/>
    </xf>
    <xf numFmtId="3" fontId="7" fillId="0" borderId="2" xfId="1" applyNumberFormat="1" applyFont="1" applyFill="1" applyBorder="1" applyAlignment="1" applyProtection="1">
      <alignment horizontal="center" vertical="center" wrapText="1"/>
    </xf>
    <xf numFmtId="3" fontId="7" fillId="0" borderId="11" xfId="1" applyNumberFormat="1" applyFont="1" applyFill="1" applyBorder="1" applyAlignment="1" applyProtection="1">
      <alignment horizontal="right" vertical="center" wrapText="1"/>
    </xf>
    <xf numFmtId="165" fontId="7" fillId="0" borderId="2" xfId="1" applyNumberFormat="1" applyFont="1" applyFill="1" applyBorder="1" applyAlignment="1" applyProtection="1">
      <alignment horizontal="left" vertical="center" wrapText="1"/>
    </xf>
    <xf numFmtId="165" fontId="7" fillId="0" borderId="11" xfId="1" applyNumberFormat="1" applyFont="1" applyFill="1" applyBorder="1" applyAlignment="1" applyProtection="1">
      <alignment vertical="center" wrapText="1"/>
    </xf>
    <xf numFmtId="165" fontId="7" fillId="0" borderId="11" xfId="1" applyNumberFormat="1" applyFont="1" applyFill="1" applyBorder="1" applyAlignment="1" applyProtection="1">
      <alignment horizontal="center" vertical="center" wrapText="1"/>
    </xf>
    <xf numFmtId="164" fontId="7" fillId="0" borderId="11" xfId="1" applyFont="1" applyFill="1" applyBorder="1" applyAlignment="1" applyProtection="1">
      <alignment horizontal="center" vertical="center" wrapText="1"/>
    </xf>
    <xf numFmtId="164" fontId="8" fillId="0" borderId="11" xfId="1" applyFont="1" applyFill="1" applyBorder="1" applyAlignment="1">
      <alignment horizontal="right" vertical="center"/>
    </xf>
    <xf numFmtId="164" fontId="8" fillId="0" borderId="11" xfId="1" applyFont="1" applyFill="1" applyBorder="1" applyAlignment="1">
      <alignment horizontal="right" vertical="center" wrapText="1"/>
    </xf>
    <xf numFmtId="164" fontId="8" fillId="0" borderId="12" xfId="1" applyFont="1" applyFill="1" applyBorder="1" applyAlignment="1">
      <alignment horizontal="right" vertical="center"/>
    </xf>
    <xf numFmtId="164" fontId="7" fillId="0" borderId="9" xfId="1" applyFont="1" applyFill="1" applyBorder="1" applyAlignment="1" applyProtection="1">
      <alignment horizontal="right" vertical="center" wrapText="1"/>
    </xf>
    <xf numFmtId="164" fontId="8" fillId="0" borderId="9" xfId="1" applyFont="1" applyFill="1" applyBorder="1" applyAlignment="1">
      <alignment horizontal="right" vertical="center" wrapText="1"/>
    </xf>
    <xf numFmtId="164" fontId="8" fillId="0" borderId="9" xfId="1" applyFont="1" applyFill="1" applyBorder="1" applyAlignment="1">
      <alignment horizontal="right" vertical="center"/>
    </xf>
    <xf numFmtId="0" fontId="9" fillId="0" borderId="9" xfId="0" applyFont="1" applyBorder="1" applyAlignment="1">
      <alignment horizontal="left" vertical="center" wrapText="1"/>
    </xf>
    <xf numFmtId="0" fontId="10" fillId="0" borderId="9" xfId="0" applyFont="1" applyBorder="1"/>
    <xf numFmtId="0" fontId="10" fillId="0" borderId="0" xfId="0" applyFont="1"/>
    <xf numFmtId="0" fontId="10" fillId="0" borderId="0" xfId="0" applyFont="1" applyAlignment="1">
      <alignment wrapText="1"/>
    </xf>
    <xf numFmtId="165" fontId="7" fillId="0" borderId="0" xfId="1" applyNumberFormat="1" applyFont="1" applyFill="1" applyBorder="1" applyAlignment="1" applyProtection="1">
      <alignment horizontal="center" vertical="center" wrapText="1"/>
    </xf>
    <xf numFmtId="165" fontId="7" fillId="4" borderId="11" xfId="1" applyNumberFormat="1" applyFont="1" applyFill="1" applyBorder="1" applyAlignment="1" applyProtection="1">
      <alignment horizontal="center" vertical="center" wrapText="1"/>
    </xf>
    <xf numFmtId="165" fontId="7" fillId="4" borderId="2" xfId="1" applyNumberFormat="1" applyFont="1" applyFill="1" applyBorder="1" applyAlignment="1" applyProtection="1">
      <alignment horizontal="center" vertical="center" wrapText="1"/>
    </xf>
    <xf numFmtId="3" fontId="7" fillId="4" borderId="2" xfId="1" applyNumberFormat="1" applyFont="1" applyFill="1" applyBorder="1" applyAlignment="1" applyProtection="1">
      <alignment horizontal="center" vertical="center" wrapText="1"/>
    </xf>
    <xf numFmtId="3" fontId="7" fillId="4" borderId="11" xfId="1" applyNumberFormat="1" applyFont="1" applyFill="1" applyBorder="1" applyAlignment="1" applyProtection="1">
      <alignment horizontal="right" vertical="center" wrapText="1"/>
    </xf>
    <xf numFmtId="165" fontId="7" fillId="4" borderId="2" xfId="1" applyNumberFormat="1" applyFont="1" applyFill="1" applyBorder="1" applyAlignment="1" applyProtection="1">
      <alignment horizontal="left" vertical="center" wrapText="1"/>
    </xf>
    <xf numFmtId="165" fontId="7" fillId="4" borderId="11" xfId="1" applyNumberFormat="1" applyFont="1" applyFill="1" applyBorder="1" applyAlignment="1" applyProtection="1">
      <alignment vertical="center" wrapText="1"/>
    </xf>
    <xf numFmtId="164" fontId="7" fillId="4" borderId="11" xfId="1" applyFont="1" applyFill="1" applyBorder="1" applyAlignment="1" applyProtection="1">
      <alignment horizontal="center" vertical="center" wrapText="1"/>
    </xf>
    <xf numFmtId="164" fontId="7" fillId="4" borderId="11" xfId="1" applyFont="1" applyFill="1" applyBorder="1" applyAlignment="1" applyProtection="1">
      <alignment horizontal="right" vertical="center" wrapText="1"/>
    </xf>
    <xf numFmtId="164" fontId="7" fillId="4" borderId="12" xfId="1" applyFont="1" applyFill="1" applyBorder="1" applyAlignment="1" applyProtection="1">
      <alignment horizontal="right" vertical="center" wrapText="1"/>
    </xf>
    <xf numFmtId="0" fontId="10" fillId="0" borderId="11" xfId="0" applyFont="1" applyBorder="1" applyAlignment="1">
      <alignment horizontal="left"/>
    </xf>
    <xf numFmtId="0" fontId="10" fillId="0" borderId="11" xfId="0" applyFont="1" applyBorder="1"/>
    <xf numFmtId="49" fontId="6" fillId="0" borderId="9" xfId="1" applyNumberFormat="1" applyFont="1" applyFill="1" applyBorder="1" applyAlignment="1" applyProtection="1">
      <alignment vertical="center" wrapText="1"/>
      <protection locked="0"/>
    </xf>
    <xf numFmtId="0" fontId="6" fillId="0" borderId="9" xfId="1" applyNumberFormat="1" applyFont="1" applyFill="1" applyBorder="1" applyAlignment="1" applyProtection="1">
      <alignment horizontal="right" vertical="center" wrapText="1"/>
      <protection locked="0"/>
    </xf>
    <xf numFmtId="3" fontId="10" fillId="0" borderId="9" xfId="1" applyNumberFormat="1" applyFont="1" applyFill="1" applyBorder="1" applyAlignment="1" applyProtection="1">
      <alignment horizontal="right" vertical="center" wrapText="1"/>
      <protection locked="0"/>
    </xf>
    <xf numFmtId="49" fontId="10" fillId="0" borderId="9" xfId="1" applyNumberFormat="1" applyFont="1" applyFill="1" applyBorder="1" applyAlignment="1" applyProtection="1">
      <alignment horizontal="left" vertical="center" wrapText="1"/>
      <protection locked="0"/>
    </xf>
    <xf numFmtId="0" fontId="10" fillId="0" borderId="9" xfId="1" applyNumberFormat="1" applyFont="1" applyFill="1" applyBorder="1" applyAlignment="1" applyProtection="1">
      <alignment vertical="center" wrapText="1"/>
      <protection locked="0"/>
    </xf>
    <xf numFmtId="49" fontId="10" fillId="0" borderId="9" xfId="0" applyNumberFormat="1" applyFont="1" applyBorder="1" applyAlignment="1">
      <alignment vertical="center" wrapText="1"/>
    </xf>
    <xf numFmtId="49" fontId="10" fillId="0" borderId="9" xfId="0" applyNumberFormat="1" applyFont="1" applyBorder="1" applyAlignment="1">
      <alignment horizontal="justify" vertical="center" wrapText="1"/>
    </xf>
    <xf numFmtId="49" fontId="10" fillId="0" borderId="9" xfId="0" applyNumberFormat="1" applyFont="1" applyBorder="1" applyAlignment="1">
      <alignment vertical="center"/>
    </xf>
    <xf numFmtId="44" fontId="10" fillId="0" borderId="9" xfId="2" applyFont="1" applyFill="1" applyBorder="1" applyAlignment="1">
      <alignment vertical="center"/>
    </xf>
    <xf numFmtId="44" fontId="10" fillId="0" borderId="9" xfId="2" applyFont="1" applyFill="1" applyBorder="1" applyAlignment="1">
      <alignment horizontal="left" vertical="center" wrapText="1"/>
    </xf>
    <xf numFmtId="0" fontId="10" fillId="0" borderId="9" xfId="0" applyFont="1" applyBorder="1" applyAlignment="1">
      <alignment vertical="center" wrapText="1"/>
    </xf>
    <xf numFmtId="49" fontId="10" fillId="0" borderId="9" xfId="1" applyNumberFormat="1" applyFont="1" applyFill="1" applyBorder="1" applyAlignment="1" applyProtection="1">
      <alignment vertical="center" wrapText="1"/>
      <protection locked="0"/>
    </xf>
    <xf numFmtId="3" fontId="10" fillId="0" borderId="9" xfId="0" applyNumberFormat="1" applyFont="1" applyBorder="1" applyAlignment="1">
      <alignment vertical="center" wrapText="1"/>
    </xf>
    <xf numFmtId="3" fontId="10" fillId="0" borderId="9" xfId="0" applyNumberFormat="1" applyFont="1" applyBorder="1" applyAlignment="1">
      <alignment horizontal="left" vertical="center" wrapText="1"/>
    </xf>
    <xf numFmtId="3" fontId="10" fillId="0" borderId="9" xfId="0" applyNumberFormat="1" applyFont="1" applyBorder="1" applyAlignment="1">
      <alignment horizontal="right" vertical="center" wrapText="1"/>
    </xf>
    <xf numFmtId="49" fontId="6" fillId="0" borderId="9" xfId="1" applyNumberFormat="1" applyFont="1" applyFill="1" applyBorder="1" applyAlignment="1" applyProtection="1">
      <alignment horizontal="left" vertical="center" wrapText="1"/>
      <protection locked="0"/>
    </xf>
    <xf numFmtId="3" fontId="6" fillId="0" borderId="9" xfId="1" applyNumberFormat="1" applyFont="1" applyFill="1" applyBorder="1" applyAlignment="1" applyProtection="1">
      <alignment horizontal="right" vertical="center" wrapText="1"/>
      <protection locked="0"/>
    </xf>
    <xf numFmtId="166" fontId="10" fillId="0" borderId="9" xfId="2" applyNumberFormat="1" applyFont="1" applyFill="1" applyBorder="1" applyAlignment="1">
      <alignment horizontal="center" vertical="center"/>
    </xf>
    <xf numFmtId="44" fontId="10" fillId="0" borderId="9" xfId="2" applyFont="1" applyFill="1" applyBorder="1" applyAlignment="1">
      <alignment horizontal="center" vertical="center"/>
    </xf>
    <xf numFmtId="43" fontId="10" fillId="0" borderId="9" xfId="2" applyNumberFormat="1" applyFont="1" applyFill="1" applyBorder="1" applyAlignment="1">
      <alignment horizontal="center" vertical="center"/>
    </xf>
    <xf numFmtId="44" fontId="10" fillId="0" borderId="10" xfId="2" applyFont="1" applyFill="1" applyBorder="1" applyAlignment="1">
      <alignment horizontal="center" vertical="center"/>
    </xf>
    <xf numFmtId="49" fontId="10" fillId="0" borderId="9" xfId="0" applyNumberFormat="1" applyFont="1" applyBorder="1" applyAlignment="1">
      <alignment horizontal="left" vertical="center" wrapText="1"/>
    </xf>
    <xf numFmtId="43" fontId="10" fillId="0" borderId="9" xfId="2" applyNumberFormat="1" applyFont="1" applyFill="1" applyBorder="1" applyAlignment="1">
      <alignment vertical="center"/>
    </xf>
    <xf numFmtId="44" fontId="10" fillId="0" borderId="10" xfId="2" applyFont="1" applyFill="1" applyBorder="1" applyAlignment="1">
      <alignment vertical="center"/>
    </xf>
    <xf numFmtId="49" fontId="10" fillId="0" borderId="9" xfId="1" applyNumberFormat="1" applyFont="1" applyFill="1" applyBorder="1" applyAlignment="1" applyProtection="1">
      <alignment horizontal="center" vertical="center" textRotation="90" wrapText="1"/>
      <protection locked="0"/>
    </xf>
    <xf numFmtId="0" fontId="10" fillId="0" borderId="9" xfId="1" applyNumberFormat="1" applyFont="1" applyFill="1" applyBorder="1" applyAlignment="1" applyProtection="1">
      <alignment horizontal="right" vertical="center" wrapText="1"/>
      <protection locked="0"/>
    </xf>
    <xf numFmtId="167" fontId="10" fillId="0" borderId="9" xfId="2" applyNumberFormat="1" applyFont="1" applyFill="1" applyBorder="1" applyAlignment="1">
      <alignment vertical="center"/>
    </xf>
    <xf numFmtId="49" fontId="6" fillId="0" borderId="9" xfId="1" applyNumberFormat="1" applyFont="1" applyFill="1" applyBorder="1" applyAlignment="1" applyProtection="1">
      <alignment horizontal="center" vertical="center" textRotation="90" wrapText="1"/>
      <protection locked="0"/>
    </xf>
    <xf numFmtId="44" fontId="10" fillId="0" borderId="9" xfId="2" applyFont="1" applyFill="1" applyBorder="1" applyAlignment="1">
      <alignment horizontal="left" vertical="center"/>
    </xf>
    <xf numFmtId="43" fontId="10" fillId="0" borderId="9" xfId="2" applyNumberFormat="1" applyFont="1" applyFill="1" applyBorder="1" applyAlignment="1">
      <alignment horizontal="left" vertical="center"/>
    </xf>
    <xf numFmtId="44" fontId="10" fillId="0" borderId="10" xfId="2" applyFont="1" applyFill="1" applyBorder="1" applyAlignment="1">
      <alignment horizontal="left" vertical="center"/>
    </xf>
    <xf numFmtId="1" fontId="6" fillId="0" borderId="9" xfId="1" applyNumberFormat="1" applyFont="1" applyFill="1" applyBorder="1" applyAlignment="1" applyProtection="1">
      <alignment horizontal="center" vertical="center" wrapText="1"/>
      <protection locked="0"/>
    </xf>
    <xf numFmtId="43" fontId="10" fillId="0" borderId="9" xfId="0" applyNumberFormat="1" applyFont="1" applyBorder="1" applyAlignment="1">
      <alignment vertical="center"/>
    </xf>
    <xf numFmtId="43" fontId="10" fillId="0" borderId="10" xfId="0" applyNumberFormat="1" applyFont="1" applyBorder="1" applyAlignment="1">
      <alignment vertical="center"/>
    </xf>
    <xf numFmtId="43" fontId="10" fillId="0" borderId="9" xfId="0" applyNumberFormat="1" applyFont="1" applyBorder="1" applyAlignment="1">
      <alignment horizontal="left" vertical="center" wrapText="1"/>
    </xf>
    <xf numFmtId="0" fontId="10" fillId="0" borderId="9" xfId="1" applyNumberFormat="1" applyFont="1" applyFill="1" applyBorder="1" applyAlignment="1" applyProtection="1">
      <alignment horizontal="left" vertical="center" wrapText="1"/>
      <protection locked="0"/>
    </xf>
    <xf numFmtId="49" fontId="10" fillId="0" borderId="9" xfId="0" applyNumberFormat="1" applyFont="1" applyBorder="1" applyAlignment="1">
      <alignment horizontal="center" vertical="center" wrapText="1"/>
    </xf>
    <xf numFmtId="49" fontId="11" fillId="0" borderId="9" xfId="1" applyNumberFormat="1" applyFont="1" applyFill="1" applyBorder="1" applyAlignment="1" applyProtection="1">
      <alignment vertical="center" wrapText="1"/>
      <protection locked="0"/>
    </xf>
    <xf numFmtId="0" fontId="11" fillId="0" borderId="9" xfId="1" applyNumberFormat="1" applyFont="1" applyFill="1" applyBorder="1" applyAlignment="1" applyProtection="1">
      <alignment horizontal="right" vertical="center" wrapText="1"/>
      <protection locked="0"/>
    </xf>
    <xf numFmtId="49" fontId="11" fillId="0" borderId="9" xfId="0" applyNumberFormat="1" applyFont="1" applyBorder="1" applyAlignment="1">
      <alignment vertical="center"/>
    </xf>
    <xf numFmtId="49" fontId="11" fillId="0" borderId="9" xfId="0" applyNumberFormat="1" applyFont="1" applyBorder="1" applyAlignment="1">
      <alignment vertical="center" wrapText="1"/>
    </xf>
    <xf numFmtId="3" fontId="10" fillId="0" borderId="9" xfId="0" applyNumberFormat="1" applyFont="1" applyBorder="1" applyAlignment="1">
      <alignment horizontal="right" vertical="center"/>
    </xf>
    <xf numFmtId="0" fontId="10" fillId="0" borderId="9" xfId="0" applyFont="1" applyBorder="1" applyAlignment="1">
      <alignment vertical="center"/>
    </xf>
    <xf numFmtId="0" fontId="10" fillId="0" borderId="0" xfId="0" applyFont="1" applyAlignment="1">
      <alignment vertical="center"/>
    </xf>
    <xf numFmtId="168" fontId="10" fillId="0" borderId="9" xfId="0" applyNumberFormat="1" applyFont="1" applyBorder="1" applyAlignment="1">
      <alignment vertical="center"/>
    </xf>
    <xf numFmtId="44" fontId="10" fillId="0" borderId="10" xfId="0" applyNumberFormat="1" applyFont="1" applyBorder="1" applyAlignment="1">
      <alignment vertical="center"/>
    </xf>
    <xf numFmtId="0" fontId="10" fillId="0" borderId="9" xfId="0" applyFont="1" applyBorder="1" applyAlignment="1">
      <alignment horizontal="left" vertical="center" wrapText="1"/>
    </xf>
    <xf numFmtId="3" fontId="10" fillId="0" borderId="9" xfId="0" applyNumberFormat="1" applyFont="1" applyBorder="1" applyAlignment="1">
      <alignment vertical="center"/>
    </xf>
    <xf numFmtId="3" fontId="10" fillId="0" borderId="10" xfId="0" applyNumberFormat="1" applyFont="1" applyBorder="1" applyAlignment="1">
      <alignment vertical="center"/>
    </xf>
    <xf numFmtId="0" fontId="10" fillId="0" borderId="9" xfId="0" applyFont="1" applyBorder="1" applyAlignment="1">
      <alignment horizontal="right" vertical="center" wrapText="1"/>
    </xf>
    <xf numFmtId="49" fontId="9" fillId="0" borderId="9" xfId="1" applyNumberFormat="1" applyFont="1" applyFill="1" applyBorder="1" applyAlignment="1" applyProtection="1">
      <alignment horizontal="left" vertical="center" wrapText="1"/>
      <protection locked="0"/>
    </xf>
    <xf numFmtId="4" fontId="10" fillId="0" borderId="9" xfId="0" applyNumberFormat="1" applyFont="1" applyBorder="1" applyAlignment="1">
      <alignment vertical="center"/>
    </xf>
    <xf numFmtId="4" fontId="10" fillId="0" borderId="9" xfId="0" applyNumberFormat="1" applyFont="1" applyBorder="1" applyAlignment="1">
      <alignment horizontal="left" vertical="center" wrapText="1"/>
    </xf>
    <xf numFmtId="0" fontId="6" fillId="0" borderId="9" xfId="1" applyNumberFormat="1" applyFont="1" applyFill="1" applyBorder="1" applyAlignment="1" applyProtection="1">
      <alignment horizontal="left" vertical="center" wrapText="1"/>
      <protection locked="0"/>
    </xf>
    <xf numFmtId="49" fontId="8" fillId="0" borderId="9" xfId="1" applyNumberFormat="1" applyFont="1" applyFill="1" applyBorder="1" applyAlignment="1" applyProtection="1">
      <alignment horizontal="left" vertical="center" wrapText="1"/>
      <protection locked="0"/>
    </xf>
    <xf numFmtId="0" fontId="8" fillId="0" borderId="9" xfId="1" applyNumberFormat="1" applyFont="1" applyFill="1" applyBorder="1" applyAlignment="1" applyProtection="1">
      <alignment vertical="center" wrapText="1"/>
      <protection locked="0"/>
    </xf>
    <xf numFmtId="167" fontId="10" fillId="0" borderId="9" xfId="2" applyNumberFormat="1" applyFont="1" applyFill="1" applyBorder="1" applyAlignment="1">
      <alignment horizontal="left" vertical="center" wrapText="1"/>
    </xf>
    <xf numFmtId="49" fontId="10" fillId="0" borderId="9" xfId="0" applyNumberFormat="1" applyFont="1" applyBorder="1" applyAlignment="1">
      <alignment horizontal="left" vertical="center"/>
    </xf>
    <xf numFmtId="6" fontId="10" fillId="0" borderId="9" xfId="0" applyNumberFormat="1" applyFont="1" applyBorder="1" applyAlignment="1">
      <alignment vertical="center" wrapText="1"/>
    </xf>
    <xf numFmtId="49" fontId="6" fillId="0" borderId="9" xfId="0" applyNumberFormat="1" applyFont="1" applyBorder="1" applyAlignment="1">
      <alignment horizontal="left" vertical="center" wrapText="1"/>
    </xf>
    <xf numFmtId="49" fontId="10" fillId="0" borderId="8" xfId="0" applyNumberFormat="1" applyFont="1" applyBorder="1" applyAlignment="1">
      <alignment vertical="center" wrapText="1"/>
    </xf>
    <xf numFmtId="3" fontId="10" fillId="0" borderId="8" xfId="0" applyNumberFormat="1" applyFont="1" applyBorder="1" applyAlignment="1">
      <alignment horizontal="right" vertical="center" wrapText="1"/>
    </xf>
    <xf numFmtId="49" fontId="10" fillId="0" borderId="8" xfId="0" applyNumberFormat="1" applyFont="1" applyBorder="1" applyAlignment="1">
      <alignment horizontal="center" vertical="center" wrapText="1"/>
    </xf>
    <xf numFmtId="49" fontId="10" fillId="0" borderId="8" xfId="0" applyNumberFormat="1" applyFont="1" applyBorder="1" applyAlignment="1">
      <alignment horizontal="left" vertical="center" wrapText="1"/>
    </xf>
    <xf numFmtId="0" fontId="10" fillId="0" borderId="8" xfId="0" applyFont="1" applyBorder="1" applyAlignment="1">
      <alignment horizontal="left" vertical="center" wrapText="1"/>
    </xf>
    <xf numFmtId="43" fontId="10" fillId="0" borderId="8" xfId="0" applyNumberFormat="1" applyFont="1" applyBorder="1" applyAlignment="1">
      <alignment vertical="center"/>
    </xf>
    <xf numFmtId="43" fontId="10" fillId="0" borderId="8" xfId="0" applyNumberFormat="1" applyFont="1" applyBorder="1" applyAlignment="1">
      <alignment horizontal="left" vertical="center" wrapText="1"/>
    </xf>
    <xf numFmtId="0" fontId="10" fillId="0" borderId="8" xfId="0" applyFont="1" applyBorder="1" applyAlignment="1">
      <alignment vertical="center" wrapText="1"/>
    </xf>
    <xf numFmtId="0" fontId="10" fillId="0" borderId="9" xfId="0" applyFont="1" applyBorder="1" applyAlignment="1">
      <alignment horizontal="center" vertical="center" wrapText="1"/>
    </xf>
    <xf numFmtId="49" fontId="6" fillId="0" borderId="9" xfId="1" applyNumberFormat="1" applyFont="1" applyFill="1" applyBorder="1" applyAlignment="1" applyProtection="1">
      <alignment horizontal="center" vertical="center" textRotation="90" wrapText="1"/>
    </xf>
    <xf numFmtId="49" fontId="6" fillId="0" borderId="9" xfId="1" applyNumberFormat="1" applyFont="1" applyFill="1" applyBorder="1" applyAlignment="1" applyProtection="1">
      <alignment horizontal="left" vertical="center" wrapText="1"/>
    </xf>
    <xf numFmtId="3" fontId="6" fillId="0" borderId="9" xfId="1" applyNumberFormat="1" applyFont="1" applyFill="1" applyBorder="1" applyAlignment="1" applyProtection="1">
      <alignment horizontal="right" vertical="center" wrapText="1"/>
    </xf>
    <xf numFmtId="43" fontId="10" fillId="0" borderId="9" xfId="0" applyNumberFormat="1" applyFont="1" applyBorder="1" applyAlignment="1">
      <alignment horizontal="center" vertical="center"/>
    </xf>
    <xf numFmtId="43" fontId="10" fillId="0" borderId="10" xfId="0" applyNumberFormat="1" applyFont="1" applyBorder="1" applyAlignment="1">
      <alignment horizontal="center" vertical="center"/>
    </xf>
    <xf numFmtId="49" fontId="6" fillId="0" borderId="9" xfId="0" applyNumberFormat="1" applyFont="1" applyBorder="1" applyAlignment="1">
      <alignment vertical="center" wrapText="1"/>
    </xf>
    <xf numFmtId="3" fontId="6" fillId="0" borderId="9" xfId="0" applyNumberFormat="1" applyFont="1" applyBorder="1" applyAlignment="1">
      <alignment horizontal="right" vertical="center" wrapText="1"/>
    </xf>
    <xf numFmtId="3" fontId="9" fillId="0" borderId="9" xfId="1" applyNumberFormat="1" applyFont="1" applyFill="1" applyBorder="1" applyAlignment="1" applyProtection="1">
      <alignment horizontal="right" vertical="center" wrapText="1"/>
      <protection locked="0"/>
    </xf>
    <xf numFmtId="0" fontId="10" fillId="0" borderId="0" xfId="0" applyFont="1" applyAlignment="1">
      <alignment vertical="center" wrapText="1"/>
    </xf>
    <xf numFmtId="165" fontId="10" fillId="0" borderId="9" xfId="1" applyNumberFormat="1" applyFont="1" applyFill="1" applyBorder="1" applyAlignment="1" applyProtection="1">
      <alignment vertical="center" wrapText="1"/>
      <protection locked="0"/>
    </xf>
    <xf numFmtId="165" fontId="10" fillId="0" borderId="9" xfId="1" applyNumberFormat="1" applyFont="1" applyFill="1" applyBorder="1" applyAlignment="1" applyProtection="1">
      <alignment horizontal="left" vertical="center" wrapText="1"/>
      <protection locked="0"/>
    </xf>
    <xf numFmtId="3" fontId="11" fillId="0" borderId="9" xfId="1" applyNumberFormat="1" applyFont="1" applyFill="1" applyBorder="1" applyAlignment="1" applyProtection="1">
      <alignment horizontal="right" vertical="center" wrapText="1"/>
      <protection locked="0"/>
    </xf>
    <xf numFmtId="43" fontId="10" fillId="0" borderId="9" xfId="1" applyNumberFormat="1" applyFont="1" applyFill="1" applyBorder="1" applyAlignment="1" applyProtection="1">
      <alignment vertical="center" wrapText="1"/>
      <protection locked="0"/>
    </xf>
    <xf numFmtId="165" fontId="10" fillId="0" borderId="10" xfId="1" applyNumberFormat="1" applyFont="1" applyFill="1" applyBorder="1" applyAlignment="1" applyProtection="1">
      <alignment vertical="center" wrapText="1"/>
      <protection locked="0"/>
    </xf>
    <xf numFmtId="44" fontId="10" fillId="0" borderId="9" xfId="0" applyNumberFormat="1" applyFont="1" applyBorder="1" applyAlignment="1">
      <alignment vertical="center"/>
    </xf>
    <xf numFmtId="0" fontId="10" fillId="0" borderId="10" xfId="0" applyFont="1" applyBorder="1" applyAlignment="1">
      <alignment vertical="center"/>
    </xf>
    <xf numFmtId="166" fontId="10" fillId="0" borderId="9" xfId="2" applyNumberFormat="1" applyFont="1" applyFill="1" applyBorder="1" applyAlignment="1">
      <alignment vertical="center"/>
    </xf>
    <xf numFmtId="49" fontId="8" fillId="0" borderId="9" xfId="0" applyNumberFormat="1" applyFont="1" applyBorder="1" applyAlignment="1">
      <alignment horizontal="left" vertical="center" wrapText="1"/>
    </xf>
    <xf numFmtId="0" fontId="8" fillId="0" borderId="9" xfId="0" applyFont="1" applyBorder="1" applyAlignment="1">
      <alignment horizontal="center" vertical="center" wrapText="1"/>
    </xf>
    <xf numFmtId="0" fontId="14" fillId="0" borderId="0" xfId="0" applyFont="1" applyAlignment="1">
      <alignment horizontal="center"/>
    </xf>
    <xf numFmtId="0" fontId="14" fillId="2" borderId="0" xfId="0" applyFont="1" applyFill="1" applyAlignment="1">
      <alignment horizontal="center"/>
    </xf>
    <xf numFmtId="0" fontId="10" fillId="0" borderId="0" xfId="0" applyFont="1" applyAlignment="1">
      <alignment horizontal="center" vertical="center"/>
    </xf>
    <xf numFmtId="0" fontId="10" fillId="0" borderId="0" xfId="0" applyFont="1" applyAlignment="1">
      <alignment horizontal="left"/>
    </xf>
    <xf numFmtId="0" fontId="8" fillId="0" borderId="0" xfId="0" applyFont="1"/>
    <xf numFmtId="3" fontId="10" fillId="0" borderId="0" xfId="0" applyNumberFormat="1" applyFont="1"/>
    <xf numFmtId="0" fontId="10" fillId="0" borderId="0" xfId="0" applyFont="1" applyAlignment="1">
      <alignment horizontal="right"/>
    </xf>
    <xf numFmtId="0" fontId="10" fillId="0" borderId="0" xfId="0" applyFont="1" applyAlignment="1">
      <alignment horizontal="left" vertical="center" wrapText="1"/>
    </xf>
    <xf numFmtId="43" fontId="8" fillId="0" borderId="0" xfId="0" applyNumberFormat="1" applyFont="1" applyAlignment="1">
      <alignment vertical="center"/>
    </xf>
    <xf numFmtId="43" fontId="15" fillId="0" borderId="0" xfId="0" applyNumberFormat="1" applyFont="1" applyAlignment="1">
      <alignment vertical="center"/>
    </xf>
    <xf numFmtId="0" fontId="3" fillId="0" borderId="0" xfId="0" applyFont="1" applyAlignment="1">
      <alignment wrapText="1"/>
    </xf>
    <xf numFmtId="0" fontId="15" fillId="5" borderId="17" xfId="0" applyFont="1" applyFill="1" applyBorder="1"/>
    <xf numFmtId="0" fontId="15" fillId="5" borderId="0" xfId="0" applyFont="1" applyFill="1"/>
    <xf numFmtId="43" fontId="8" fillId="0" borderId="17" xfId="0" applyNumberFormat="1" applyFont="1" applyBorder="1" applyAlignment="1">
      <alignment vertical="center"/>
    </xf>
    <xf numFmtId="43" fontId="15" fillId="0" borderId="17" xfId="0" applyNumberFormat="1" applyFont="1" applyBorder="1" applyAlignment="1">
      <alignment vertical="center"/>
    </xf>
    <xf numFmtId="0" fontId="3" fillId="0" borderId="0" xfId="0" applyFont="1" applyAlignment="1">
      <alignment horizontal="center" vertical="center"/>
    </xf>
    <xf numFmtId="0" fontId="3" fillId="0" borderId="0" xfId="0" applyFont="1" applyAlignment="1">
      <alignment horizontal="left"/>
    </xf>
    <xf numFmtId="3" fontId="3" fillId="0" borderId="0" xfId="0" applyNumberFormat="1" applyFont="1"/>
    <xf numFmtId="0" fontId="3" fillId="0" borderId="0" xfId="0" applyFont="1" applyAlignment="1">
      <alignment horizontal="right"/>
    </xf>
    <xf numFmtId="0" fontId="3" fillId="0" borderId="0" xfId="0" applyFont="1" applyAlignment="1">
      <alignment horizontal="left" vertical="center" wrapText="1"/>
    </xf>
    <xf numFmtId="0" fontId="8" fillId="4" borderId="0" xfId="0" applyFont="1" applyFill="1"/>
    <xf numFmtId="0" fontId="16" fillId="4" borderId="0" xfId="0" applyFont="1" applyFill="1"/>
    <xf numFmtId="3" fontId="16" fillId="4" borderId="0" xfId="0" applyNumberFormat="1" applyFont="1" applyFill="1"/>
    <xf numFmtId="0" fontId="16" fillId="4" borderId="0" xfId="0" applyFont="1" applyFill="1" applyAlignment="1">
      <alignment horizontal="right"/>
    </xf>
    <xf numFmtId="0" fontId="16" fillId="4" borderId="0" xfId="0" applyFont="1" applyFill="1" applyAlignment="1">
      <alignment horizontal="left" vertical="center" wrapText="1"/>
    </xf>
    <xf numFmtId="0" fontId="16" fillId="0" borderId="0" xfId="0" applyFont="1"/>
    <xf numFmtId="164" fontId="8" fillId="4" borderId="0" xfId="1" applyFont="1" applyFill="1"/>
    <xf numFmtId="0" fontId="3" fillId="4" borderId="0" xfId="0" applyFont="1" applyFill="1"/>
    <xf numFmtId="3" fontId="3" fillId="4" borderId="0" xfId="0" applyNumberFormat="1" applyFont="1" applyFill="1"/>
    <xf numFmtId="0" fontId="3" fillId="4" borderId="0" xfId="0" applyFont="1" applyFill="1" applyAlignment="1">
      <alignment horizontal="right"/>
    </xf>
    <xf numFmtId="0" fontId="3" fillId="4" borderId="0" xfId="0" applyFont="1" applyFill="1" applyAlignment="1">
      <alignment horizontal="left" vertical="center" wrapText="1"/>
    </xf>
    <xf numFmtId="164" fontId="15" fillId="4" borderId="0" xfId="1" applyFont="1" applyFill="1"/>
    <xf numFmtId="164" fontId="3" fillId="0" borderId="0" xfId="0" applyNumberFormat="1" applyFont="1"/>
    <xf numFmtId="43" fontId="3" fillId="0" borderId="0" xfId="0" applyNumberFormat="1" applyFont="1"/>
    <xf numFmtId="43" fontId="8" fillId="0" borderId="18" xfId="0" applyNumberFormat="1" applyFont="1" applyBorder="1" applyAlignment="1">
      <alignment vertical="center"/>
    </xf>
    <xf numFmtId="164" fontId="3" fillId="0" borderId="0" xfId="1" applyFont="1"/>
    <xf numFmtId="165" fontId="4" fillId="6" borderId="8" xfId="1" applyNumberFormat="1" applyFont="1" applyFill="1" applyBorder="1" applyAlignment="1" applyProtection="1">
      <alignment horizontal="center" vertical="center" wrapText="1"/>
    </xf>
    <xf numFmtId="0" fontId="4" fillId="6" borderId="9" xfId="0" applyFont="1" applyFill="1" applyBorder="1" applyAlignment="1">
      <alignment horizontal="center" vertical="center"/>
    </xf>
    <xf numFmtId="1" fontId="4" fillId="6" borderId="11" xfId="1" applyNumberFormat="1" applyFont="1" applyFill="1" applyBorder="1" applyAlignment="1" applyProtection="1">
      <alignment horizontal="center" vertical="center" wrapText="1"/>
    </xf>
    <xf numFmtId="3" fontId="4" fillId="6" borderId="11" xfId="1" applyNumberFormat="1" applyFont="1" applyFill="1" applyBorder="1" applyAlignment="1" applyProtection="1">
      <alignment horizontal="center" vertical="center" wrapText="1"/>
    </xf>
    <xf numFmtId="165" fontId="4" fillId="6" borderId="11" xfId="1" applyNumberFormat="1" applyFont="1" applyFill="1" applyBorder="1" applyAlignment="1" applyProtection="1">
      <alignment horizontal="center" vertical="center" wrapText="1"/>
    </xf>
    <xf numFmtId="0" fontId="4" fillId="6" borderId="11" xfId="0" applyFont="1" applyFill="1" applyBorder="1" applyAlignment="1">
      <alignment horizontal="center" vertical="center"/>
    </xf>
    <xf numFmtId="0" fontId="4" fillId="6" borderId="11" xfId="0" applyFont="1" applyFill="1" applyBorder="1" applyAlignment="1">
      <alignment horizontal="center" vertical="center" wrapText="1"/>
    </xf>
    <xf numFmtId="164" fontId="4" fillId="6" borderId="12" xfId="1" applyFont="1" applyFill="1" applyBorder="1" applyAlignment="1">
      <alignment horizontal="center" vertical="center"/>
    </xf>
    <xf numFmtId="164" fontId="4" fillId="6" borderId="9" xfId="1" applyFont="1" applyFill="1" applyBorder="1" applyAlignment="1" applyProtection="1">
      <alignment horizontal="center" vertical="center" wrapText="1"/>
    </xf>
    <xf numFmtId="164" fontId="4" fillId="6" borderId="9" xfId="1" applyFont="1" applyFill="1" applyBorder="1" applyAlignment="1">
      <alignment horizontal="center" vertical="center"/>
    </xf>
    <xf numFmtId="0" fontId="4" fillId="6" borderId="9" xfId="0" applyFont="1" applyFill="1" applyBorder="1" applyAlignment="1">
      <alignment horizontal="center" vertical="center" wrapText="1"/>
    </xf>
    <xf numFmtId="0" fontId="5" fillId="6" borderId="11" xfId="0" applyFont="1" applyFill="1" applyBorder="1" applyAlignment="1">
      <alignment horizontal="center" textRotation="90"/>
    </xf>
    <xf numFmtId="165" fontId="4" fillId="6" borderId="11" xfId="0" applyNumberFormat="1" applyFont="1" applyFill="1" applyBorder="1" applyAlignment="1">
      <alignment horizontal="center"/>
    </xf>
    <xf numFmtId="0" fontId="4" fillId="6" borderId="12" xfId="0" applyFont="1" applyFill="1" applyBorder="1"/>
    <xf numFmtId="0" fontId="4" fillId="6" borderId="15" xfId="0" applyFont="1" applyFill="1" applyBorder="1"/>
    <xf numFmtId="0" fontId="4" fillId="6" borderId="16" xfId="0" applyFont="1" applyFill="1" applyBorder="1"/>
    <xf numFmtId="0" fontId="5" fillId="6" borderId="11" xfId="0" applyFont="1" applyFill="1" applyBorder="1" applyAlignment="1">
      <alignment horizontal="right"/>
    </xf>
    <xf numFmtId="0" fontId="13" fillId="6" borderId="11" xfId="0" applyFont="1" applyFill="1" applyBorder="1" applyAlignment="1">
      <alignment horizontal="center"/>
    </xf>
    <xf numFmtId="3" fontId="13" fillId="6" borderId="11" xfId="0" applyNumberFormat="1" applyFont="1" applyFill="1" applyBorder="1" applyAlignment="1">
      <alignment horizontal="center"/>
    </xf>
    <xf numFmtId="0" fontId="5" fillId="6" borderId="11" xfId="0" applyFont="1" applyFill="1" applyBorder="1" applyAlignment="1">
      <alignment horizontal="center"/>
    </xf>
    <xf numFmtId="0" fontId="5" fillId="6" borderId="11" xfId="0" applyFont="1" applyFill="1" applyBorder="1" applyAlignment="1">
      <alignment horizontal="left" wrapText="1"/>
    </xf>
    <xf numFmtId="0" fontId="5" fillId="6" borderId="11" xfId="0" applyFont="1" applyFill="1" applyBorder="1"/>
    <xf numFmtId="43" fontId="4" fillId="6" borderId="11" xfId="0" applyNumberFormat="1" applyFont="1" applyFill="1" applyBorder="1" applyAlignment="1">
      <alignment horizontal="center"/>
    </xf>
    <xf numFmtId="43" fontId="4" fillId="6" borderId="9" xfId="0" applyNumberFormat="1" applyFont="1" applyFill="1" applyBorder="1" applyAlignment="1">
      <alignment horizontal="left"/>
    </xf>
    <xf numFmtId="43" fontId="4" fillId="6" borderId="9" xfId="0" applyNumberFormat="1" applyFont="1" applyFill="1" applyBorder="1" applyAlignment="1">
      <alignment horizontal="center"/>
    </xf>
    <xf numFmtId="0" fontId="14" fillId="6" borderId="9" xfId="0" applyFont="1" applyFill="1" applyBorder="1" applyAlignment="1">
      <alignment horizontal="center"/>
    </xf>
    <xf numFmtId="0" fontId="14" fillId="6" borderId="9" xfId="0" applyFont="1" applyFill="1" applyBorder="1" applyAlignment="1">
      <alignment horizontal="center" wrapText="1"/>
    </xf>
    <xf numFmtId="43" fontId="10" fillId="0" borderId="9" xfId="0" applyNumberFormat="1" applyFont="1" applyBorder="1" applyAlignment="1">
      <alignment horizontal="left" vertical="center" wrapText="1"/>
    </xf>
    <xf numFmtId="49" fontId="10" fillId="0" borderId="9" xfId="1" applyNumberFormat="1" applyFont="1" applyFill="1" applyBorder="1" applyAlignment="1" applyProtection="1">
      <alignment horizontal="left" vertical="center" wrapText="1"/>
      <protection locked="0"/>
    </xf>
    <xf numFmtId="3" fontId="10" fillId="0" borderId="9" xfId="1" applyNumberFormat="1" applyFont="1" applyFill="1" applyBorder="1" applyAlignment="1" applyProtection="1">
      <alignment horizontal="right" vertical="center" wrapText="1"/>
      <protection locked="0"/>
    </xf>
    <xf numFmtId="43" fontId="10" fillId="0" borderId="9" xfId="0" applyNumberFormat="1" applyFont="1" applyBorder="1" applyAlignment="1">
      <alignment horizontal="center" vertical="center"/>
    </xf>
    <xf numFmtId="43" fontId="10" fillId="0" borderId="10" xfId="0" applyNumberFormat="1" applyFont="1" applyBorder="1" applyAlignment="1">
      <alignment horizontal="center" vertical="center"/>
    </xf>
    <xf numFmtId="49" fontId="10" fillId="0" borderId="9" xfId="1" applyNumberFormat="1" applyFont="1" applyFill="1" applyBorder="1" applyAlignment="1" applyProtection="1">
      <alignment horizontal="center" vertical="center" textRotation="90" wrapText="1"/>
      <protection locked="0"/>
    </xf>
    <xf numFmtId="165" fontId="10" fillId="0" borderId="9" xfId="1" applyNumberFormat="1" applyFont="1" applyFill="1" applyBorder="1" applyAlignment="1" applyProtection="1">
      <alignment horizontal="center" vertical="center" wrapText="1"/>
      <protection locked="0"/>
    </xf>
    <xf numFmtId="165" fontId="10" fillId="0" borderId="9" xfId="1" applyNumberFormat="1" applyFont="1" applyFill="1" applyBorder="1" applyAlignment="1" applyProtection="1">
      <alignment horizontal="left" vertical="center" wrapText="1"/>
      <protection locked="0"/>
    </xf>
    <xf numFmtId="165" fontId="6" fillId="0" borderId="11" xfId="1" applyNumberFormat="1" applyFont="1" applyFill="1" applyBorder="1" applyAlignment="1" applyProtection="1">
      <alignment horizontal="center" vertical="center" wrapText="1"/>
    </xf>
    <xf numFmtId="165" fontId="6" fillId="0" borderId="2" xfId="1" applyNumberFormat="1" applyFont="1" applyFill="1" applyBorder="1" applyAlignment="1" applyProtection="1">
      <alignment horizontal="center" vertical="center" wrapText="1"/>
    </xf>
    <xf numFmtId="165" fontId="6" fillId="0" borderId="8" xfId="1" applyNumberFormat="1" applyFont="1" applyFill="1" applyBorder="1" applyAlignment="1" applyProtection="1">
      <alignment horizontal="center" vertical="center" wrapText="1"/>
    </xf>
    <xf numFmtId="165" fontId="7" fillId="0" borderId="11" xfId="1" applyNumberFormat="1" applyFont="1" applyFill="1" applyBorder="1" applyAlignment="1" applyProtection="1">
      <alignment horizontal="center" vertical="center" wrapText="1"/>
    </xf>
    <xf numFmtId="165" fontId="7" fillId="0" borderId="2" xfId="1" applyNumberFormat="1" applyFont="1" applyFill="1" applyBorder="1" applyAlignment="1" applyProtection="1">
      <alignment horizontal="center" vertical="center" wrapText="1"/>
    </xf>
    <xf numFmtId="165" fontId="7" fillId="0" borderId="8" xfId="1" applyNumberFormat="1" applyFont="1" applyFill="1" applyBorder="1" applyAlignment="1" applyProtection="1">
      <alignment horizontal="center" vertical="center" wrapText="1"/>
    </xf>
    <xf numFmtId="165" fontId="6" fillId="0" borderId="9" xfId="1" applyNumberFormat="1" applyFont="1" applyFill="1" applyBorder="1" applyAlignment="1" applyProtection="1">
      <alignment horizontal="center" vertical="center" textRotation="90" wrapText="1"/>
      <protection locked="0"/>
    </xf>
    <xf numFmtId="166" fontId="6" fillId="0" borderId="9" xfId="1" applyNumberFormat="1" applyFont="1" applyFill="1" applyBorder="1" applyAlignment="1" applyProtection="1">
      <alignment horizontal="right" vertical="center" wrapText="1"/>
      <protection locked="0"/>
    </xf>
    <xf numFmtId="1" fontId="10" fillId="0" borderId="9" xfId="1" applyNumberFormat="1" applyFont="1" applyFill="1" applyBorder="1" applyAlignment="1" applyProtection="1">
      <alignment horizontal="center" vertical="center" wrapText="1"/>
      <protection locked="0"/>
    </xf>
    <xf numFmtId="165" fontId="10" fillId="0" borderId="10" xfId="1" applyNumberFormat="1" applyFont="1" applyFill="1" applyBorder="1" applyAlignment="1" applyProtection="1">
      <alignment horizontal="center" vertical="center" wrapText="1"/>
      <protection locked="0"/>
    </xf>
    <xf numFmtId="43" fontId="10" fillId="0" borderId="9" xfId="1" applyNumberFormat="1" applyFont="1" applyFill="1" applyBorder="1" applyAlignment="1" applyProtection="1">
      <alignment horizontal="center" vertical="center" wrapText="1"/>
      <protection locked="0"/>
    </xf>
    <xf numFmtId="49" fontId="10" fillId="0" borderId="9" xfId="0" applyNumberFormat="1" applyFont="1" applyBorder="1" applyAlignment="1">
      <alignment horizontal="center" vertical="center" textRotation="90" wrapText="1"/>
    </xf>
    <xf numFmtId="1" fontId="10" fillId="0" borderId="9" xfId="0" applyNumberFormat="1" applyFont="1" applyBorder="1" applyAlignment="1">
      <alignment horizontal="center" vertical="center" wrapText="1"/>
    </xf>
    <xf numFmtId="49" fontId="6" fillId="0" borderId="9" xfId="1" applyNumberFormat="1" applyFont="1" applyFill="1" applyBorder="1" applyAlignment="1" applyProtection="1">
      <alignment horizontal="center" vertical="center" textRotation="90" wrapText="1"/>
      <protection locked="0"/>
    </xf>
    <xf numFmtId="1" fontId="6" fillId="0" borderId="9" xfId="1" applyNumberFormat="1" applyFont="1" applyFill="1" applyBorder="1" applyAlignment="1" applyProtection="1">
      <alignment horizontal="center" vertical="center" wrapText="1"/>
      <protection locked="0"/>
    </xf>
    <xf numFmtId="49" fontId="6" fillId="0" borderId="9" xfId="1" applyNumberFormat="1" applyFont="1" applyFill="1" applyBorder="1" applyAlignment="1" applyProtection="1">
      <alignment horizontal="left" vertical="center" wrapText="1"/>
      <protection locked="0"/>
    </xf>
    <xf numFmtId="3" fontId="6" fillId="0" borderId="9" xfId="1" applyNumberFormat="1" applyFont="1" applyFill="1" applyBorder="1" applyAlignment="1" applyProtection="1">
      <alignment horizontal="right" vertical="center" wrapText="1"/>
      <protection locked="0"/>
    </xf>
    <xf numFmtId="0" fontId="10" fillId="0" borderId="10" xfId="0" applyFont="1" applyBorder="1" applyAlignment="1">
      <alignment horizontal="center" vertical="center"/>
    </xf>
    <xf numFmtId="0" fontId="10" fillId="0" borderId="9" xfId="0" applyFont="1" applyBorder="1" applyAlignment="1">
      <alignment horizontal="center" vertical="center"/>
    </xf>
    <xf numFmtId="0" fontId="10" fillId="0" borderId="9" xfId="0" applyFont="1" applyBorder="1" applyAlignment="1">
      <alignment horizontal="left" vertical="center" wrapText="1"/>
    </xf>
    <xf numFmtId="3" fontId="10" fillId="0" borderId="9" xfId="0" applyNumberFormat="1" applyFont="1" applyBorder="1" applyAlignment="1">
      <alignment horizontal="center" vertical="center"/>
    </xf>
    <xf numFmtId="44" fontId="10" fillId="0" borderId="9" xfId="2" applyFont="1" applyFill="1" applyBorder="1" applyAlignment="1">
      <alignment horizontal="center" vertical="center"/>
    </xf>
    <xf numFmtId="44" fontId="10" fillId="0" borderId="9" xfId="0" applyNumberFormat="1" applyFont="1" applyBorder="1" applyAlignment="1">
      <alignment horizontal="center" vertical="center"/>
    </xf>
    <xf numFmtId="49" fontId="6" fillId="0" borderId="11" xfId="1" applyNumberFormat="1" applyFont="1" applyFill="1" applyBorder="1" applyAlignment="1" applyProtection="1">
      <alignment horizontal="center" vertical="center" textRotation="90" wrapText="1"/>
      <protection locked="0"/>
    </xf>
    <xf numFmtId="49" fontId="6" fillId="0" borderId="2" xfId="1" applyNumberFormat="1" applyFont="1" applyFill="1" applyBorder="1" applyAlignment="1" applyProtection="1">
      <alignment horizontal="center" vertical="center" textRotation="90" wrapText="1"/>
      <protection locked="0"/>
    </xf>
    <xf numFmtId="49" fontId="6" fillId="0" borderId="8" xfId="1" applyNumberFormat="1" applyFont="1" applyFill="1" applyBorder="1" applyAlignment="1" applyProtection="1">
      <alignment horizontal="center" vertical="center" textRotation="90" wrapText="1"/>
      <protection locked="0"/>
    </xf>
    <xf numFmtId="3" fontId="10" fillId="0" borderId="11" xfId="0" applyNumberFormat="1" applyFont="1" applyBorder="1" applyAlignment="1">
      <alignment horizontal="left" vertical="center" wrapText="1"/>
    </xf>
    <xf numFmtId="3" fontId="10" fillId="0" borderId="2" xfId="0" applyNumberFormat="1" applyFont="1" applyBorder="1" applyAlignment="1">
      <alignment horizontal="left" vertical="center" wrapText="1"/>
    </xf>
    <xf numFmtId="3" fontId="10" fillId="0" borderId="8" xfId="0" applyNumberFormat="1" applyFont="1" applyBorder="1" applyAlignment="1">
      <alignment horizontal="left" vertical="center" wrapText="1"/>
    </xf>
    <xf numFmtId="3" fontId="10" fillId="0" borderId="10" xfId="0" applyNumberFormat="1" applyFont="1" applyBorder="1" applyAlignment="1">
      <alignment horizontal="center" vertical="center"/>
    </xf>
    <xf numFmtId="165" fontId="10" fillId="0" borderId="9" xfId="1" applyNumberFormat="1" applyFont="1" applyFill="1" applyBorder="1" applyAlignment="1" applyProtection="1">
      <alignment vertical="center" wrapText="1"/>
      <protection locked="0"/>
    </xf>
    <xf numFmtId="43" fontId="10" fillId="0" borderId="9" xfId="1" applyNumberFormat="1" applyFont="1" applyFill="1" applyBorder="1" applyAlignment="1" applyProtection="1">
      <alignment vertical="center" wrapText="1"/>
      <protection locked="0"/>
    </xf>
    <xf numFmtId="165" fontId="10" fillId="0" borderId="10" xfId="1" applyNumberFormat="1" applyFont="1" applyFill="1" applyBorder="1" applyAlignment="1" applyProtection="1">
      <alignment vertical="center" wrapText="1"/>
      <protection locked="0"/>
    </xf>
    <xf numFmtId="165" fontId="10" fillId="0" borderId="10" xfId="1" applyNumberFormat="1" applyFont="1" applyFill="1" applyBorder="1" applyAlignment="1" applyProtection="1">
      <alignment horizontal="left" vertical="center" wrapText="1"/>
      <protection locked="0"/>
    </xf>
    <xf numFmtId="43" fontId="10" fillId="0" borderId="9" xfId="1" applyNumberFormat="1" applyFont="1" applyFill="1" applyBorder="1" applyAlignment="1" applyProtection="1">
      <alignment horizontal="left" vertical="center" wrapText="1"/>
      <protection locked="0"/>
    </xf>
    <xf numFmtId="169" fontId="6" fillId="0" borderId="9" xfId="1" applyNumberFormat="1" applyFont="1" applyFill="1" applyBorder="1" applyAlignment="1" applyProtection="1">
      <alignment horizontal="right" vertical="center" wrapText="1"/>
      <protection locked="0"/>
    </xf>
    <xf numFmtId="170" fontId="10" fillId="0" borderId="9" xfId="0" applyNumberFormat="1" applyFont="1" applyBorder="1" applyAlignment="1">
      <alignment horizontal="center" vertical="center"/>
    </xf>
    <xf numFmtId="49" fontId="6" fillId="0" borderId="9" xfId="1" applyNumberFormat="1" applyFont="1" applyFill="1" applyBorder="1" applyAlignment="1" applyProtection="1">
      <alignment horizontal="left" vertical="center" wrapText="1"/>
    </xf>
    <xf numFmtId="3" fontId="6" fillId="0" borderId="9" xfId="1" applyNumberFormat="1" applyFont="1" applyFill="1" applyBorder="1" applyAlignment="1" applyProtection="1">
      <alignment horizontal="right" vertical="center" wrapText="1"/>
    </xf>
    <xf numFmtId="49" fontId="6" fillId="0" borderId="9" xfId="1" applyNumberFormat="1" applyFont="1" applyFill="1" applyBorder="1" applyAlignment="1" applyProtection="1">
      <alignment horizontal="center" vertical="center" textRotation="90" wrapText="1"/>
    </xf>
    <xf numFmtId="1" fontId="6" fillId="0" borderId="9" xfId="1" applyNumberFormat="1" applyFont="1" applyFill="1" applyBorder="1" applyAlignment="1" applyProtection="1">
      <alignment horizontal="center" vertical="center" wrapText="1"/>
    </xf>
    <xf numFmtId="43" fontId="10" fillId="0" borderId="9" xfId="0" applyNumberFormat="1" applyFont="1" applyBorder="1" applyAlignment="1">
      <alignment horizontal="center" vertical="center" wrapText="1"/>
    </xf>
    <xf numFmtId="6" fontId="10" fillId="0" borderId="9" xfId="0" applyNumberFormat="1" applyFont="1" applyBorder="1" applyAlignment="1">
      <alignment horizontal="center" vertical="center" wrapText="1"/>
    </xf>
    <xf numFmtId="6" fontId="10" fillId="0" borderId="10" xfId="0" applyNumberFormat="1" applyFont="1" applyBorder="1" applyAlignment="1">
      <alignment horizontal="center" vertical="center" wrapText="1"/>
    </xf>
    <xf numFmtId="6" fontId="10" fillId="0" borderId="9" xfId="0" applyNumberFormat="1" applyFont="1" applyBorder="1" applyAlignment="1">
      <alignment horizontal="right" vertical="center" wrapText="1"/>
    </xf>
    <xf numFmtId="44" fontId="10" fillId="0" borderId="9" xfId="2" applyFont="1" applyFill="1" applyBorder="1" applyAlignment="1">
      <alignment horizontal="left" vertical="center" wrapText="1"/>
    </xf>
    <xf numFmtId="1" fontId="10" fillId="0" borderId="9" xfId="0" applyNumberFormat="1" applyFont="1" applyBorder="1" applyAlignment="1">
      <alignment horizontal="center" vertical="center"/>
    </xf>
    <xf numFmtId="43" fontId="10" fillId="0" borderId="9" xfId="2" applyNumberFormat="1" applyFont="1" applyFill="1" applyBorder="1" applyAlignment="1">
      <alignment horizontal="center" vertical="center"/>
    </xf>
    <xf numFmtId="44" fontId="10" fillId="0" borderId="10" xfId="2" applyFont="1" applyFill="1" applyBorder="1" applyAlignment="1">
      <alignment horizontal="center" vertical="center"/>
    </xf>
    <xf numFmtId="6" fontId="10" fillId="0" borderId="9" xfId="0" applyNumberFormat="1" applyFont="1" applyBorder="1" applyAlignment="1">
      <alignment horizontal="left" vertical="center" wrapText="1"/>
    </xf>
    <xf numFmtId="167" fontId="10" fillId="0" borderId="9" xfId="2" applyNumberFormat="1" applyFont="1" applyFill="1" applyBorder="1" applyAlignment="1">
      <alignment horizontal="center" vertical="center"/>
    </xf>
    <xf numFmtId="167" fontId="10" fillId="0" borderId="10" xfId="2" applyNumberFormat="1" applyFont="1" applyFill="1" applyBorder="1" applyAlignment="1">
      <alignment horizontal="center" vertical="center"/>
    </xf>
    <xf numFmtId="167" fontId="10" fillId="0" borderId="9" xfId="2" applyNumberFormat="1" applyFont="1" applyFill="1" applyBorder="1" applyAlignment="1">
      <alignment horizontal="left" vertical="center" wrapText="1"/>
    </xf>
    <xf numFmtId="1" fontId="6" fillId="0" borderId="11" xfId="1" applyNumberFormat="1" applyFont="1" applyFill="1" applyBorder="1" applyAlignment="1" applyProtection="1">
      <alignment horizontal="center" vertical="center" wrapText="1"/>
      <protection locked="0"/>
    </xf>
    <xf numFmtId="1" fontId="6" fillId="0" borderId="8" xfId="1" applyNumberFormat="1" applyFont="1" applyFill="1" applyBorder="1" applyAlignment="1" applyProtection="1">
      <alignment horizontal="center" vertical="center" wrapText="1"/>
      <protection locked="0"/>
    </xf>
    <xf numFmtId="3" fontId="10" fillId="0" borderId="9" xfId="0" applyNumberFormat="1" applyFont="1" applyBorder="1" applyAlignment="1">
      <alignment horizontal="right" vertical="center"/>
    </xf>
    <xf numFmtId="3" fontId="10" fillId="0" borderId="10" xfId="0" applyNumberFormat="1" applyFont="1" applyBorder="1" applyAlignment="1">
      <alignment horizontal="right" vertical="center"/>
    </xf>
    <xf numFmtId="43" fontId="10" fillId="0" borderId="9" xfId="0" applyNumberFormat="1" applyFont="1" applyBorder="1" applyAlignment="1">
      <alignment horizontal="right" vertical="center"/>
    </xf>
    <xf numFmtId="3" fontId="10" fillId="0" borderId="9" xfId="0" applyNumberFormat="1" applyFont="1" applyBorder="1" applyAlignment="1">
      <alignment horizontal="left" vertical="center" wrapText="1"/>
    </xf>
    <xf numFmtId="4" fontId="10" fillId="0" borderId="9" xfId="0" applyNumberFormat="1" applyFont="1" applyBorder="1" applyAlignment="1">
      <alignment horizontal="center" vertical="center"/>
    </xf>
    <xf numFmtId="4" fontId="10" fillId="0" borderId="10" xfId="0" applyNumberFormat="1" applyFont="1" applyBorder="1" applyAlignment="1">
      <alignment horizontal="center" vertical="center"/>
    </xf>
    <xf numFmtId="4" fontId="10" fillId="0" borderId="9" xfId="0" applyNumberFormat="1" applyFont="1" applyBorder="1" applyAlignment="1">
      <alignment horizontal="left" vertical="center" wrapText="1"/>
    </xf>
    <xf numFmtId="49" fontId="6" fillId="0" borderId="11" xfId="1" applyNumberFormat="1" applyFont="1" applyFill="1" applyBorder="1" applyAlignment="1" applyProtection="1">
      <alignment horizontal="left" vertical="center" wrapText="1"/>
      <protection locked="0"/>
    </xf>
    <xf numFmtId="49" fontId="6" fillId="0" borderId="8" xfId="1" applyNumberFormat="1" applyFont="1" applyFill="1" applyBorder="1" applyAlignment="1" applyProtection="1">
      <alignment horizontal="left" vertical="center" wrapText="1"/>
      <protection locked="0"/>
    </xf>
    <xf numFmtId="3" fontId="6" fillId="0" borderId="11" xfId="1" applyNumberFormat="1" applyFont="1" applyFill="1" applyBorder="1" applyAlignment="1" applyProtection="1">
      <alignment horizontal="right" vertical="center" wrapText="1"/>
      <protection locked="0"/>
    </xf>
    <xf numFmtId="3" fontId="6" fillId="0" borderId="8" xfId="1" applyNumberFormat="1" applyFont="1" applyFill="1" applyBorder="1" applyAlignment="1" applyProtection="1">
      <alignment horizontal="right" vertical="center" wrapText="1"/>
      <protection locked="0"/>
    </xf>
    <xf numFmtId="49" fontId="10" fillId="0" borderId="9" xfId="0" applyNumberFormat="1" applyFont="1" applyBorder="1" applyAlignment="1">
      <alignment horizontal="left" vertical="center" wrapText="1"/>
    </xf>
    <xf numFmtId="3" fontId="10" fillId="0" borderId="9" xfId="0" applyNumberFormat="1" applyFont="1" applyBorder="1" applyAlignment="1">
      <alignment horizontal="right" vertical="center" wrapText="1"/>
    </xf>
    <xf numFmtId="3" fontId="10" fillId="0" borderId="9" xfId="0" applyNumberFormat="1" applyFont="1" applyBorder="1" applyAlignment="1">
      <alignment horizontal="center" vertical="center" wrapText="1"/>
    </xf>
    <xf numFmtId="43" fontId="10" fillId="0" borderId="9" xfId="0" applyNumberFormat="1" applyFont="1" applyBorder="1" applyAlignment="1">
      <alignment horizontal="right" vertical="center" wrapText="1"/>
    </xf>
    <xf numFmtId="3" fontId="10" fillId="0" borderId="10" xfId="0" applyNumberFormat="1" applyFont="1" applyBorder="1" applyAlignment="1">
      <alignment horizontal="center" vertical="center" wrapText="1"/>
    </xf>
    <xf numFmtId="165" fontId="4" fillId="6" borderId="2" xfId="1" applyNumberFormat="1" applyFont="1" applyFill="1" applyBorder="1" applyAlignment="1" applyProtection="1">
      <alignment horizontal="center" vertical="center" wrapText="1"/>
    </xf>
    <xf numFmtId="3" fontId="4" fillId="6" borderId="2" xfId="1" applyNumberFormat="1" applyFont="1" applyFill="1" applyBorder="1" applyAlignment="1" applyProtection="1">
      <alignment horizontal="center" vertical="center" wrapText="1"/>
    </xf>
    <xf numFmtId="0" fontId="2" fillId="0" borderId="0" xfId="0" applyFont="1" applyAlignment="1">
      <alignment horizontal="center"/>
    </xf>
    <xf numFmtId="165" fontId="4" fillId="6" borderId="1" xfId="1" applyNumberFormat="1" applyFont="1" applyFill="1" applyBorder="1" applyAlignment="1" applyProtection="1">
      <alignment horizontal="center" vertical="center" wrapText="1"/>
    </xf>
    <xf numFmtId="165" fontId="4" fillId="6" borderId="8" xfId="1" applyNumberFormat="1" applyFont="1" applyFill="1" applyBorder="1" applyAlignment="1" applyProtection="1">
      <alignment horizontal="center" vertical="center" wrapText="1"/>
    </xf>
    <xf numFmtId="165" fontId="4" fillId="6" borderId="3" xfId="1" applyNumberFormat="1" applyFont="1" applyFill="1" applyBorder="1" applyAlignment="1" applyProtection="1">
      <alignment horizontal="center" vertical="center" wrapText="1"/>
    </xf>
    <xf numFmtId="165" fontId="4" fillId="6" borderId="4" xfId="1" applyNumberFormat="1" applyFont="1" applyFill="1" applyBorder="1" applyAlignment="1" applyProtection="1">
      <alignment horizontal="center" vertical="center" wrapText="1"/>
    </xf>
    <xf numFmtId="0" fontId="4" fillId="6" borderId="9" xfId="0" applyFont="1" applyFill="1" applyBorder="1" applyAlignment="1">
      <alignment horizontal="center" vertical="center" wrapText="1"/>
    </xf>
    <xf numFmtId="165" fontId="4" fillId="6" borderId="9" xfId="1" applyNumberFormat="1" applyFont="1" applyFill="1" applyBorder="1" applyAlignment="1" applyProtection="1">
      <alignment horizontal="center" vertical="center" wrapText="1"/>
    </xf>
    <xf numFmtId="165" fontId="4" fillId="6" borderId="10" xfId="1" applyNumberFormat="1" applyFont="1" applyFill="1" applyBorder="1" applyAlignment="1" applyProtection="1">
      <alignment horizontal="center" vertical="center" wrapText="1"/>
    </xf>
    <xf numFmtId="165" fontId="4" fillId="6" borderId="11" xfId="1" applyNumberFormat="1" applyFont="1" applyFill="1" applyBorder="1" applyAlignment="1" applyProtection="1">
      <alignment horizontal="center" vertical="center" wrapText="1"/>
    </xf>
    <xf numFmtId="0" fontId="4" fillId="6" borderId="9" xfId="0" applyFont="1" applyFill="1" applyBorder="1" applyAlignment="1">
      <alignment horizontal="center" vertical="center"/>
    </xf>
    <xf numFmtId="165" fontId="4" fillId="6" borderId="5" xfId="1" applyNumberFormat="1" applyFont="1" applyFill="1" applyBorder="1" applyAlignment="1" applyProtection="1">
      <alignment horizontal="center" vertical="center" wrapText="1"/>
    </xf>
    <xf numFmtId="165" fontId="4" fillId="6" borderId="6" xfId="1" applyNumberFormat="1" applyFont="1" applyFill="1" applyBorder="1" applyAlignment="1" applyProtection="1">
      <alignment horizontal="center" vertical="center" wrapText="1"/>
    </xf>
    <xf numFmtId="165" fontId="4" fillId="6" borderId="7" xfId="1" applyNumberFormat="1" applyFont="1" applyFill="1" applyBorder="1" applyAlignment="1" applyProtection="1">
      <alignment horizontal="center" vertical="center" wrapText="1"/>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COPIA%2029092022%20COMPUTADOR%20CORPONARI&#209;O\INFORMES%20PARA%20PLANEACION\INFORME%20PLANEACION%20IN.%20YOLANDA\ANTEPROYECTO%202023\PRESUPUESTO%20A&#209;O%202023%20PLANTA%20PERSONAL%20CORPONARI&#209;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uandlopez\Downloads\CATALOGO_DE_PRODUCTOS%20(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Vfileserver02\bases\BPI\CAPACITACI&#211;N%20SPIIP\2020\Cat&#225;logo%20de%20Productos\CAT&#193;LOGOS%20ANTERIORES\CARGADOS%20MGA\CAT&#193;LOGO%20MGA%2001_%202701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rchivos\Documentos\MADS\2024\FORMULACION%20PAC\INSUMOS%20FORMULACION\PIP\CATALOGO_DE_PRODUCTOS_0202202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Mi%20unidad\9.%20Ajustes_PAC_MADS_Julio\PAC_%20versi&#243;n_Final\Anexo1_MAO_V2_PAC_Aprob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4- Planta Dra Jacke"/>
      <sheetName val="Formulario 4A - Nómina "/>
      <sheetName val="PRESUPUESTO 2023 RUBROS"/>
      <sheetName val="RUBROS"/>
      <sheetName val="DESPLEGABLES"/>
    </sheetNames>
    <sheetDataSet>
      <sheetData sheetId="0"/>
      <sheetData sheetId="1"/>
      <sheetData sheetId="2">
        <row r="17">
          <cell r="V17">
            <v>0</v>
          </cell>
        </row>
      </sheetData>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TORES,PROGRAMAS Y SUBPROGRAM"/>
      <sheetName val="SECTORES"/>
      <sheetName val="CATÁLOGO_DE PRODUCTOS"/>
      <sheetName val="CATÁLOGO DE PRODUCTOS"/>
      <sheetName val="Sectores-Programas-Subprogramas"/>
    </sheetNames>
    <sheetDataSet>
      <sheetData sheetId="0">
        <row r="9">
          <cell r="C9" t="str">
            <v>0101</v>
          </cell>
        </row>
      </sheetData>
      <sheetData sheetId="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tores y Programas"/>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tores"/>
      <sheetName val="Sectores-Programas-Subprogramas"/>
      <sheetName val="Catálogo de Productos"/>
      <sheetName val="CATALOGO_DE_PRODUCTOS_02022024"/>
    </sheetNames>
    <sheetDataSet>
      <sheetData sheetId="0"/>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OV1documento"/>
      <sheetName val="MAOMFIN"/>
      <sheetName val="Proyectos APNyOFPREVIO"/>
      <sheetName val="MAOMF"/>
      <sheetName val="MAO"/>
      <sheetName val="Articulación PND"/>
      <sheetName val="PIP"/>
      <sheetName val="Actividades"/>
      <sheetName val="INGRESOS_2024_2027"/>
      <sheetName val="RAE-APN"/>
      <sheetName val="Pond"/>
      <sheetName val="ProyectosAPNyOF"/>
      <sheetName val="GASTOS_FUNC_2024_2027"/>
      <sheetName val="Pond."/>
      <sheetName val="NOMINA INVERSION"/>
      <sheetName val="Resumen acuerdo "/>
      <sheetName val="Resumen Ingresos"/>
      <sheetName val="Resumen gastos total"/>
      <sheetName val="Resumen funcionamiento"/>
      <sheetName val="Resumen Inversión"/>
      <sheetName val="Acuerdo Presupuesto 2024"/>
      <sheetName val="PROY INGRESOS ajustada 2024"/>
      <sheetName val="Gastos por fuentes 2024"/>
      <sheetName val="TASA RETRIBUTIVA 2024"/>
      <sheetName val="TSE 2024 "/>
      <sheetName val="TUA 2024"/>
      <sheetName val="TRANFER FCA"/>
      <sheetName val="FUNCIONAMIENTO 2024"/>
      <sheetName val="Comparativo inversion"/>
      <sheetName val="comparativo funcionamiento"/>
      <sheetName val="LD elimin"/>
      <sheetName val="Actividades PND"/>
    </sheetNames>
    <sheetDataSet>
      <sheetData sheetId="0"/>
      <sheetData sheetId="1"/>
      <sheetData sheetId="2"/>
      <sheetData sheetId="3"/>
      <sheetData sheetId="4">
        <row r="10">
          <cell r="C10" t="str">
            <v>Programa 2. Conservación de la biodiversidad y sus servicios ecosistémicos</v>
          </cell>
        </row>
      </sheetData>
      <sheetData sheetId="5"/>
      <sheetData sheetId="6"/>
      <sheetData sheetId="7"/>
      <sheetData sheetId="8">
        <row r="78">
          <cell r="H78">
            <v>8356125358</v>
          </cell>
          <cell r="J78">
            <v>8808721360</v>
          </cell>
          <cell r="M78">
            <v>9084971012</v>
          </cell>
          <cell r="P78">
            <v>9374763436</v>
          </cell>
        </row>
        <row r="86">
          <cell r="H86">
            <v>5862423590.8500004</v>
          </cell>
        </row>
        <row r="90">
          <cell r="M90">
            <v>2050000000</v>
          </cell>
          <cell r="P90">
            <v>3150000000</v>
          </cell>
        </row>
        <row r="98">
          <cell r="H98">
            <v>44799403279.849998</v>
          </cell>
          <cell r="J98">
            <v>41308404351</v>
          </cell>
          <cell r="M98">
            <v>47534615962</v>
          </cell>
          <cell r="P98">
            <v>53292231381</v>
          </cell>
        </row>
      </sheetData>
      <sheetData sheetId="9"/>
      <sheetData sheetId="10">
        <row r="5">
          <cell r="AF5">
            <v>17</v>
          </cell>
        </row>
        <row r="6">
          <cell r="AF6">
            <v>29</v>
          </cell>
        </row>
        <row r="7">
          <cell r="AF7">
            <v>27</v>
          </cell>
        </row>
        <row r="8">
          <cell r="AF8">
            <v>28</v>
          </cell>
        </row>
        <row r="9">
          <cell r="AF9">
            <v>16</v>
          </cell>
        </row>
        <row r="10">
          <cell r="AF10">
            <v>17</v>
          </cell>
        </row>
        <row r="11">
          <cell r="AF11">
            <v>42</v>
          </cell>
        </row>
        <row r="12">
          <cell r="AF12">
            <v>27</v>
          </cell>
        </row>
        <row r="13">
          <cell r="AF13">
            <v>31</v>
          </cell>
        </row>
        <row r="14">
          <cell r="AF14">
            <v>45</v>
          </cell>
        </row>
        <row r="15">
          <cell r="AF15">
            <v>52</v>
          </cell>
        </row>
        <row r="16">
          <cell r="AF16">
            <v>48</v>
          </cell>
        </row>
        <row r="17">
          <cell r="AF17">
            <v>10</v>
          </cell>
        </row>
        <row r="18">
          <cell r="AF18">
            <v>50</v>
          </cell>
        </row>
        <row r="19">
          <cell r="AF19">
            <v>50</v>
          </cell>
        </row>
        <row r="20">
          <cell r="AF20">
            <v>11</v>
          </cell>
        </row>
        <row r="21">
          <cell r="AF21">
            <v>52</v>
          </cell>
        </row>
        <row r="22">
          <cell r="AF22">
            <v>48</v>
          </cell>
        </row>
        <row r="24">
          <cell r="AF24">
            <v>19</v>
          </cell>
        </row>
        <row r="25">
          <cell r="AF25">
            <v>39</v>
          </cell>
        </row>
        <row r="26">
          <cell r="AF26">
            <v>37</v>
          </cell>
        </row>
        <row r="27">
          <cell r="AF27">
            <v>24</v>
          </cell>
        </row>
        <row r="28">
          <cell r="AF28">
            <v>34</v>
          </cell>
        </row>
        <row r="29">
          <cell r="AF29">
            <v>43</v>
          </cell>
        </row>
        <row r="30">
          <cell r="AF30">
            <v>15</v>
          </cell>
        </row>
        <row r="31">
          <cell r="AF31">
            <v>9</v>
          </cell>
        </row>
        <row r="32">
          <cell r="AF32">
            <v>13</v>
          </cell>
        </row>
        <row r="33">
          <cell r="AF33">
            <v>11</v>
          </cell>
        </row>
        <row r="34">
          <cell r="AF34">
            <v>9</v>
          </cell>
        </row>
        <row r="35">
          <cell r="AF35">
            <v>11</v>
          </cell>
        </row>
        <row r="36">
          <cell r="AF36">
            <v>100</v>
          </cell>
        </row>
        <row r="37">
          <cell r="AF37">
            <v>14</v>
          </cell>
        </row>
        <row r="38">
          <cell r="AF38">
            <v>6</v>
          </cell>
        </row>
        <row r="39">
          <cell r="AF39">
            <v>8</v>
          </cell>
        </row>
        <row r="40">
          <cell r="AF40">
            <v>6</v>
          </cell>
        </row>
        <row r="41">
          <cell r="AF41">
            <v>6</v>
          </cell>
        </row>
        <row r="42">
          <cell r="AF42">
            <v>12</v>
          </cell>
        </row>
        <row r="43">
          <cell r="AF43">
            <v>39</v>
          </cell>
        </row>
        <row r="44">
          <cell r="AF44">
            <v>8</v>
          </cell>
        </row>
        <row r="45">
          <cell r="AF45">
            <v>8</v>
          </cell>
        </row>
        <row r="46">
          <cell r="AF46">
            <v>7</v>
          </cell>
        </row>
        <row r="47">
          <cell r="AF47">
            <v>2</v>
          </cell>
        </row>
        <row r="48">
          <cell r="AF48">
            <v>100</v>
          </cell>
        </row>
        <row r="49">
          <cell r="AF49">
            <v>20</v>
          </cell>
        </row>
        <row r="50">
          <cell r="AF50">
            <v>70</v>
          </cell>
        </row>
        <row r="51">
          <cell r="AF51">
            <v>30</v>
          </cell>
        </row>
        <row r="53">
          <cell r="AF53">
            <v>33</v>
          </cell>
        </row>
        <row r="54">
          <cell r="AF54">
            <v>56</v>
          </cell>
        </row>
        <row r="55">
          <cell r="AF55">
            <v>44</v>
          </cell>
        </row>
        <row r="56">
          <cell r="AF56">
            <v>33</v>
          </cell>
        </row>
        <row r="57">
          <cell r="AF57">
            <v>21</v>
          </cell>
        </row>
        <row r="58">
          <cell r="AF58">
            <v>17</v>
          </cell>
        </row>
        <row r="59">
          <cell r="AF59">
            <v>24</v>
          </cell>
        </row>
        <row r="60">
          <cell r="AF60">
            <v>38</v>
          </cell>
        </row>
        <row r="61">
          <cell r="AF61">
            <v>16</v>
          </cell>
        </row>
        <row r="62">
          <cell r="AF62">
            <v>100</v>
          </cell>
        </row>
        <row r="63">
          <cell r="AF63">
            <v>18</v>
          </cell>
        </row>
        <row r="64">
          <cell r="AF64">
            <v>100</v>
          </cell>
        </row>
        <row r="66">
          <cell r="AF66">
            <v>100</v>
          </cell>
        </row>
        <row r="67">
          <cell r="AF67">
            <v>70</v>
          </cell>
        </row>
        <row r="68">
          <cell r="AF68">
            <v>30</v>
          </cell>
        </row>
        <row r="70">
          <cell r="AF70">
            <v>30</v>
          </cell>
        </row>
        <row r="71">
          <cell r="AF71">
            <v>100</v>
          </cell>
        </row>
        <row r="72">
          <cell r="AF72">
            <v>22</v>
          </cell>
        </row>
        <row r="73">
          <cell r="AF73">
            <v>100</v>
          </cell>
        </row>
        <row r="74">
          <cell r="AF74">
            <v>38</v>
          </cell>
        </row>
        <row r="75">
          <cell r="AF75">
            <v>41</v>
          </cell>
        </row>
        <row r="76">
          <cell r="AF76">
            <v>40</v>
          </cell>
        </row>
        <row r="77">
          <cell r="AF77">
            <v>19</v>
          </cell>
        </row>
        <row r="78">
          <cell r="AF78">
            <v>10</v>
          </cell>
        </row>
        <row r="79">
          <cell r="AF79">
            <v>60</v>
          </cell>
        </row>
        <row r="80">
          <cell r="AF80">
            <v>40</v>
          </cell>
        </row>
        <row r="82">
          <cell r="AF82">
            <v>100</v>
          </cell>
        </row>
        <row r="83">
          <cell r="AF83">
            <v>48</v>
          </cell>
        </row>
        <row r="84">
          <cell r="AF84">
            <v>52</v>
          </cell>
        </row>
        <row r="86">
          <cell r="AF86">
            <v>35</v>
          </cell>
        </row>
        <row r="87">
          <cell r="AF87">
            <v>100</v>
          </cell>
        </row>
        <row r="88">
          <cell r="AF88">
            <v>34</v>
          </cell>
        </row>
        <row r="89">
          <cell r="AF89">
            <v>100</v>
          </cell>
        </row>
        <row r="90">
          <cell r="AF90">
            <v>31</v>
          </cell>
        </row>
        <row r="91">
          <cell r="AF91">
            <v>100</v>
          </cell>
        </row>
        <row r="93">
          <cell r="AF93">
            <v>40</v>
          </cell>
        </row>
        <row r="94">
          <cell r="AF94">
            <v>100</v>
          </cell>
        </row>
        <row r="95">
          <cell r="AF95">
            <v>48</v>
          </cell>
        </row>
        <row r="96">
          <cell r="AF96">
            <v>100</v>
          </cell>
        </row>
        <row r="97">
          <cell r="AF97">
            <v>12</v>
          </cell>
        </row>
        <row r="98">
          <cell r="AF98">
            <v>100</v>
          </cell>
        </row>
        <row r="100">
          <cell r="AF100">
            <v>17</v>
          </cell>
        </row>
        <row r="101">
          <cell r="AF101">
            <v>18</v>
          </cell>
        </row>
        <row r="102">
          <cell r="AF102">
            <v>82</v>
          </cell>
        </row>
        <row r="103">
          <cell r="AF103">
            <v>12</v>
          </cell>
        </row>
        <row r="104">
          <cell r="AF104">
            <v>64</v>
          </cell>
        </row>
        <row r="105">
          <cell r="AF105">
            <v>36</v>
          </cell>
        </row>
        <row r="106">
          <cell r="AF106">
            <v>17</v>
          </cell>
        </row>
        <row r="107">
          <cell r="AF107">
            <v>25</v>
          </cell>
        </row>
        <row r="108">
          <cell r="AF108">
            <v>52</v>
          </cell>
        </row>
        <row r="109">
          <cell r="AF109">
            <v>23</v>
          </cell>
        </row>
        <row r="110">
          <cell r="AF110">
            <v>12</v>
          </cell>
        </row>
        <row r="111">
          <cell r="AF111">
            <v>63</v>
          </cell>
        </row>
        <row r="112">
          <cell r="AF112">
            <v>37</v>
          </cell>
        </row>
        <row r="113">
          <cell r="AF113">
            <v>8</v>
          </cell>
        </row>
        <row r="114">
          <cell r="AF114">
            <v>100</v>
          </cell>
        </row>
        <row r="115">
          <cell r="AF115">
            <v>18</v>
          </cell>
        </row>
        <row r="116">
          <cell r="AF116">
            <v>22</v>
          </cell>
        </row>
        <row r="117">
          <cell r="AF117">
            <v>13</v>
          </cell>
        </row>
        <row r="118">
          <cell r="AF118">
            <v>20</v>
          </cell>
        </row>
        <row r="119">
          <cell r="AF119">
            <v>14</v>
          </cell>
        </row>
        <row r="120">
          <cell r="AF120">
            <v>16</v>
          </cell>
        </row>
        <row r="121">
          <cell r="AF121">
            <v>7</v>
          </cell>
        </row>
        <row r="122">
          <cell r="AF122">
            <v>8</v>
          </cell>
        </row>
        <row r="123">
          <cell r="AF123">
            <v>8</v>
          </cell>
        </row>
        <row r="124">
          <cell r="AF124">
            <v>100</v>
          </cell>
        </row>
        <row r="125">
          <cell r="AF125">
            <v>8</v>
          </cell>
        </row>
        <row r="126">
          <cell r="AF126">
            <v>70</v>
          </cell>
        </row>
        <row r="127">
          <cell r="AF127">
            <v>30</v>
          </cell>
        </row>
      </sheetData>
      <sheetData sheetId="11"/>
      <sheetData sheetId="12">
        <row r="12">
          <cell r="D12">
            <v>3035501000</v>
          </cell>
          <cell r="E12">
            <v>3022952989</v>
          </cell>
          <cell r="G12">
            <v>3217631060</v>
          </cell>
          <cell r="H12">
            <v>5436039514</v>
          </cell>
          <cell r="J12">
            <v>3314159992</v>
          </cell>
          <cell r="K12">
            <v>5979643468</v>
          </cell>
          <cell r="M12">
            <v>3413584792</v>
          </cell>
          <cell r="N12">
            <v>6577607817</v>
          </cell>
        </row>
        <row r="59">
          <cell r="E59">
            <v>5492492000</v>
          </cell>
          <cell r="H59">
            <v>5822041520</v>
          </cell>
          <cell r="K59">
            <v>6404245672</v>
          </cell>
          <cell r="N59">
            <v>7030692231</v>
          </cell>
        </row>
        <row r="116">
          <cell r="D116">
            <v>134507000</v>
          </cell>
          <cell r="E116">
            <v>1505135433</v>
          </cell>
          <cell r="G116">
            <v>142577420</v>
          </cell>
          <cell r="H116">
            <v>1574633299</v>
          </cell>
          <cell r="J116">
            <v>146854743</v>
          </cell>
          <cell r="K116">
            <v>1753625295</v>
          </cell>
          <cell r="M116">
            <v>151260385</v>
          </cell>
          <cell r="N116">
            <v>1953086490</v>
          </cell>
        </row>
        <row r="132">
          <cell r="D132">
            <v>8408000</v>
          </cell>
          <cell r="E132">
            <v>228600000</v>
          </cell>
          <cell r="G132">
            <v>8912480</v>
          </cell>
          <cell r="H132">
            <v>242316000</v>
          </cell>
          <cell r="J132">
            <v>9179853</v>
          </cell>
          <cell r="K132">
            <v>266547600</v>
          </cell>
          <cell r="M132">
            <v>9455249</v>
          </cell>
          <cell r="N132">
            <v>293202360</v>
          </cell>
        </row>
      </sheetData>
      <sheetData sheetId="13"/>
      <sheetData sheetId="14"/>
      <sheetData sheetId="15"/>
      <sheetData sheetId="16"/>
      <sheetData sheetId="17"/>
      <sheetData sheetId="18"/>
      <sheetData sheetId="19"/>
      <sheetData sheetId="20"/>
      <sheetData sheetId="21"/>
      <sheetData sheetId="22">
        <row r="70">
          <cell r="D70">
            <v>47262622</v>
          </cell>
        </row>
        <row r="71">
          <cell r="D71">
            <v>38152000</v>
          </cell>
        </row>
        <row r="72">
          <cell r="D72">
            <v>43121800</v>
          </cell>
        </row>
        <row r="73">
          <cell r="F73">
            <v>2333624</v>
          </cell>
        </row>
        <row r="75">
          <cell r="D75">
            <v>53312400</v>
          </cell>
        </row>
        <row r="76">
          <cell r="D76">
            <v>22790800</v>
          </cell>
        </row>
        <row r="77">
          <cell r="D77">
            <v>20782800</v>
          </cell>
        </row>
        <row r="78">
          <cell r="D78">
            <v>47398932</v>
          </cell>
        </row>
        <row r="80">
          <cell r="D80">
            <v>338812350</v>
          </cell>
        </row>
        <row r="81">
          <cell r="D81">
            <v>253922705</v>
          </cell>
        </row>
        <row r="83">
          <cell r="D83">
            <v>66580000</v>
          </cell>
        </row>
        <row r="84">
          <cell r="F84">
            <v>67500000</v>
          </cell>
        </row>
        <row r="86">
          <cell r="D86">
            <v>77227200</v>
          </cell>
        </row>
        <row r="87">
          <cell r="D87">
            <v>65920000</v>
          </cell>
        </row>
        <row r="90">
          <cell r="D90">
            <v>233499200</v>
          </cell>
        </row>
        <row r="92">
          <cell r="D92">
            <v>236944000</v>
          </cell>
        </row>
        <row r="93">
          <cell r="D93">
            <v>89556800</v>
          </cell>
        </row>
        <row r="98">
          <cell r="D98">
            <v>50200000</v>
          </cell>
        </row>
        <row r="99">
          <cell r="D99">
            <v>10040000</v>
          </cell>
        </row>
        <row r="101">
          <cell r="D101">
            <v>654400000</v>
          </cell>
        </row>
        <row r="106">
          <cell r="D106">
            <v>30453830</v>
          </cell>
        </row>
        <row r="107">
          <cell r="D107">
            <v>198370320</v>
          </cell>
        </row>
        <row r="108">
          <cell r="D108">
            <v>20541840</v>
          </cell>
        </row>
        <row r="109">
          <cell r="D109">
            <v>41083680</v>
          </cell>
        </row>
        <row r="110">
          <cell r="D110">
            <v>1353396330</v>
          </cell>
        </row>
        <row r="113">
          <cell r="D113">
            <v>210157280</v>
          </cell>
        </row>
        <row r="114">
          <cell r="D114">
            <v>445996880</v>
          </cell>
        </row>
        <row r="116">
          <cell r="D116">
            <v>255200000</v>
          </cell>
        </row>
        <row r="119">
          <cell r="D119">
            <v>552947180</v>
          </cell>
        </row>
        <row r="124">
          <cell r="D124">
            <v>345348390</v>
          </cell>
        </row>
        <row r="125">
          <cell r="D125">
            <v>483192570</v>
          </cell>
        </row>
        <row r="127">
          <cell r="D127">
            <v>563388800</v>
          </cell>
        </row>
        <row r="131">
          <cell r="D131">
            <v>136737600</v>
          </cell>
        </row>
        <row r="135">
          <cell r="D135">
            <v>809217600</v>
          </cell>
        </row>
        <row r="139">
          <cell r="D139">
            <v>2108224800</v>
          </cell>
        </row>
        <row r="144">
          <cell r="D144">
            <v>539146345</v>
          </cell>
        </row>
        <row r="156">
          <cell r="D156">
            <v>350000000</v>
          </cell>
        </row>
        <row r="159">
          <cell r="D159">
            <v>210353000</v>
          </cell>
        </row>
        <row r="161">
          <cell r="D161">
            <v>149780821</v>
          </cell>
        </row>
        <row r="163">
          <cell r="D163">
            <v>495528826</v>
          </cell>
        </row>
        <row r="164">
          <cell r="D164">
            <v>2105386174</v>
          </cell>
        </row>
        <row r="168">
          <cell r="D168">
            <v>104860000</v>
          </cell>
        </row>
        <row r="169">
          <cell r="D169">
            <v>35140000</v>
          </cell>
        </row>
        <row r="172">
          <cell r="D172">
            <v>45641840</v>
          </cell>
        </row>
        <row r="173">
          <cell r="D173">
            <v>59095440</v>
          </cell>
        </row>
        <row r="177">
          <cell r="D177">
            <v>42971200</v>
          </cell>
        </row>
        <row r="179">
          <cell r="D179">
            <v>100400000</v>
          </cell>
        </row>
        <row r="181">
          <cell r="D181">
            <v>118431200</v>
          </cell>
        </row>
        <row r="187">
          <cell r="D187">
            <v>147588000</v>
          </cell>
        </row>
        <row r="188">
          <cell r="D188">
            <v>393568000</v>
          </cell>
        </row>
        <row r="189">
          <cell r="D189">
            <v>58232000</v>
          </cell>
        </row>
        <row r="190">
          <cell r="D190">
            <v>46184000</v>
          </cell>
        </row>
        <row r="193">
          <cell r="D193">
            <v>190000000</v>
          </cell>
        </row>
        <row r="194">
          <cell r="D194">
            <v>46184000</v>
          </cell>
        </row>
        <row r="195">
          <cell r="D195">
            <v>139154400</v>
          </cell>
        </row>
        <row r="196">
          <cell r="D196">
            <v>36144000</v>
          </cell>
        </row>
        <row r="198">
          <cell r="D198">
            <v>72047600</v>
          </cell>
        </row>
        <row r="199">
          <cell r="D199">
            <v>23000000</v>
          </cell>
        </row>
        <row r="200">
          <cell r="D200">
            <v>74952400</v>
          </cell>
        </row>
        <row r="202">
          <cell r="D202">
            <v>66264000</v>
          </cell>
        </row>
        <row r="203">
          <cell r="D203">
            <v>500539824</v>
          </cell>
        </row>
        <row r="206">
          <cell r="D206">
            <v>82729600</v>
          </cell>
        </row>
        <row r="208">
          <cell r="D208">
            <v>39858800</v>
          </cell>
        </row>
        <row r="209">
          <cell r="D209">
            <v>21485600</v>
          </cell>
        </row>
        <row r="210">
          <cell r="D210">
            <v>23092000</v>
          </cell>
        </row>
        <row r="211">
          <cell r="D211">
            <v>27911200</v>
          </cell>
        </row>
        <row r="213">
          <cell r="D213">
            <v>131930000</v>
          </cell>
        </row>
        <row r="215">
          <cell r="D215">
            <v>65569232</v>
          </cell>
        </row>
        <row r="216">
          <cell r="D216">
            <v>16939488</v>
          </cell>
        </row>
        <row r="217">
          <cell r="D217">
            <v>145964286</v>
          </cell>
        </row>
        <row r="218">
          <cell r="D218">
            <v>132829200</v>
          </cell>
        </row>
        <row r="219">
          <cell r="D219">
            <v>114280000</v>
          </cell>
        </row>
        <row r="221">
          <cell r="D221">
            <v>83733600</v>
          </cell>
        </row>
      </sheetData>
      <sheetData sheetId="23">
        <row r="5">
          <cell r="T5">
            <v>577923507</v>
          </cell>
          <cell r="Y5">
            <v>647274328</v>
          </cell>
          <cell r="AD5">
            <v>724947247</v>
          </cell>
        </row>
        <row r="6">
          <cell r="T6">
            <v>140265254</v>
          </cell>
          <cell r="Y6">
            <v>157097085</v>
          </cell>
          <cell r="AD6">
            <v>175948735</v>
          </cell>
        </row>
        <row r="7">
          <cell r="T7">
            <v>830094374</v>
          </cell>
          <cell r="Y7">
            <v>929705700</v>
          </cell>
          <cell r="AD7">
            <v>1041270384</v>
          </cell>
        </row>
        <row r="8">
          <cell r="T8">
            <v>2162614291</v>
          </cell>
          <cell r="Y8">
            <v>2422128005</v>
          </cell>
          <cell r="AD8">
            <v>2712783367</v>
          </cell>
        </row>
        <row r="9">
          <cell r="T9">
            <v>479048000</v>
          </cell>
          <cell r="Y9">
            <v>536533760</v>
          </cell>
          <cell r="AD9">
            <v>600917811</v>
          </cell>
        </row>
        <row r="10">
          <cell r="T10">
            <v>121486574</v>
          </cell>
          <cell r="Y10">
            <v>136064962</v>
          </cell>
          <cell r="AD10">
            <v>152392757</v>
          </cell>
        </row>
      </sheetData>
      <sheetData sheetId="24">
        <row r="5">
          <cell r="I5">
            <v>277600000</v>
          </cell>
          <cell r="L5">
            <v>310912000</v>
          </cell>
          <cell r="O5">
            <v>348221440</v>
          </cell>
        </row>
      </sheetData>
      <sheetData sheetId="25">
        <row r="16">
          <cell r="K16">
            <v>684933920</v>
          </cell>
          <cell r="P16">
            <v>767125988</v>
          </cell>
          <cell r="T16">
            <v>859181103</v>
          </cell>
        </row>
        <row r="17">
          <cell r="K17">
            <v>85616740</v>
          </cell>
          <cell r="P17">
            <v>95890750</v>
          </cell>
          <cell r="T17">
            <v>107397642</v>
          </cell>
        </row>
      </sheetData>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EJ196"/>
  <sheetViews>
    <sheetView showGridLines="0" tabSelected="1" zoomScale="93" zoomScaleNormal="85" workbookViewId="0">
      <pane ySplit="3" topLeftCell="A18" activePane="bottomLeft" state="frozen"/>
      <selection activeCell="C10" sqref="C10:C38"/>
      <selection pane="bottomLeft" activeCell="I18" sqref="I18:I21"/>
    </sheetView>
  </sheetViews>
  <sheetFormatPr baseColWidth="10" defaultColWidth="13" defaultRowHeight="13.2" x14ac:dyDescent="0.25"/>
  <cols>
    <col min="1" max="1" width="10.109375" style="1" customWidth="1"/>
    <col min="2" max="2" width="7.5546875" style="186" customWidth="1"/>
    <col min="3" max="3" width="11.33203125" style="1" customWidth="1"/>
    <col min="4" max="4" width="6.6640625" style="186" customWidth="1"/>
    <col min="5" max="5" width="13.33203125" style="187" customWidth="1"/>
    <col min="6" max="6" width="6.5546875" style="1" customWidth="1"/>
    <col min="7" max="7" width="10" style="1" customWidth="1"/>
    <col min="8" max="8" width="13" style="187" customWidth="1"/>
    <col min="9" max="9" width="26.109375" style="1" customWidth="1"/>
    <col min="10" max="10" width="5.109375" style="1" customWidth="1"/>
    <col min="11" max="11" width="33.6640625" style="1" customWidth="1"/>
    <col min="12" max="12" width="4.6640625" style="188" customWidth="1"/>
    <col min="13" max="13" width="32.44140625" style="1" customWidth="1"/>
    <col min="14" max="14" width="15.33203125" style="1" customWidth="1"/>
    <col min="15" max="15" width="8.44140625" style="1" customWidth="1"/>
    <col min="16" max="19" width="5.109375" style="189" customWidth="1"/>
    <col min="20" max="20" width="6.88671875" style="189" customWidth="1"/>
    <col min="21" max="21" width="38.88671875" style="190" customWidth="1"/>
    <col min="22" max="22" width="42.33203125" style="1" customWidth="1"/>
    <col min="23" max="23" width="7" style="1" customWidth="1"/>
    <col min="24" max="24" width="24.88671875" style="1" customWidth="1"/>
    <col min="25" max="25" width="8.109375" style="1" customWidth="1"/>
    <col min="26" max="26" width="24.88671875" style="1" customWidth="1"/>
    <col min="27" max="27" width="15.6640625" style="1" customWidth="1"/>
    <col min="28" max="28" width="14.88671875" style="1" customWidth="1"/>
    <col min="29" max="29" width="15.109375" style="1" customWidth="1"/>
    <col min="30" max="30" width="16" style="1" customWidth="1"/>
    <col min="31" max="31" width="15.6640625" style="1" customWidth="1"/>
    <col min="32" max="32" width="14.88671875" style="1" customWidth="1"/>
    <col min="33" max="33" width="13" style="1" customWidth="1"/>
    <col min="34" max="34" width="15.44140625" style="1" customWidth="1"/>
    <col min="35" max="35" width="16" style="1" customWidth="1"/>
    <col min="36" max="36" width="14.6640625" style="1" customWidth="1"/>
    <col min="37" max="37" width="15.109375" style="1" customWidth="1"/>
    <col min="38" max="38" width="15.6640625" style="1" customWidth="1"/>
    <col min="39" max="39" width="16" style="1" customWidth="1"/>
    <col min="40" max="40" width="15.109375" style="1" customWidth="1"/>
    <col min="41" max="41" width="17.44140625" style="1" customWidth="1"/>
    <col min="42" max="42" width="15.5546875" style="1" customWidth="1"/>
    <col min="43" max="43" width="16.44140625" style="1" customWidth="1"/>
    <col min="44" max="44" width="15.5546875" style="1" customWidth="1"/>
    <col min="45" max="45" width="15.44140625" style="1" customWidth="1"/>
    <col min="46" max="46" width="18.109375" style="1" customWidth="1"/>
    <col min="47" max="47" width="7" style="1" customWidth="1"/>
    <col min="48" max="48" width="29.6640625" style="187" customWidth="1"/>
    <col min="49" max="49" width="26.5546875" style="1" customWidth="1"/>
    <col min="50" max="50" width="19.33203125" style="1" customWidth="1"/>
    <col min="51" max="51" width="8.88671875" style="1" customWidth="1"/>
    <col min="52" max="52" width="16.44140625" style="1" customWidth="1"/>
    <col min="53" max="53" width="11.33203125" style="1" customWidth="1"/>
    <col min="54" max="54" width="17.33203125" style="1" customWidth="1"/>
    <col min="55" max="55" width="19.6640625" style="181" customWidth="1"/>
    <col min="56" max="56" width="24.88671875" style="1" customWidth="1"/>
    <col min="57" max="60" width="13" style="1" customWidth="1"/>
    <col min="61" max="16384" width="13" style="1"/>
  </cols>
  <sheetData>
    <row r="1" spans="1:140" ht="15.75" customHeight="1" thickBot="1" x14ac:dyDescent="0.3">
      <c r="A1" s="315" t="s">
        <v>0</v>
      </c>
      <c r="B1" s="315"/>
      <c r="C1" s="315"/>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5"/>
      <c r="AG1" s="315"/>
      <c r="AH1" s="315"/>
      <c r="AI1" s="315"/>
      <c r="AJ1" s="315"/>
      <c r="AK1" s="315"/>
      <c r="AL1" s="315"/>
      <c r="AM1" s="315"/>
      <c r="AN1" s="315"/>
      <c r="AO1" s="315"/>
      <c r="AP1" s="315"/>
      <c r="AQ1" s="315"/>
      <c r="AR1" s="315"/>
      <c r="AS1" s="315"/>
      <c r="AT1" s="315"/>
      <c r="AU1" s="315"/>
      <c r="AV1" s="315"/>
      <c r="AW1" s="315"/>
      <c r="AX1" s="315"/>
      <c r="AY1" s="315"/>
      <c r="AZ1" s="315"/>
      <c r="BA1" s="315"/>
      <c r="BB1" s="315"/>
      <c r="BC1" s="315"/>
      <c r="BD1" s="315"/>
    </row>
    <row r="2" spans="1:140" s="3" customFormat="1" ht="23.25" customHeight="1" x14ac:dyDescent="0.3">
      <c r="A2" s="316" t="s">
        <v>1</v>
      </c>
      <c r="B2" s="316" t="s">
        <v>2</v>
      </c>
      <c r="C2" s="313" t="s">
        <v>3</v>
      </c>
      <c r="D2" s="318" t="s">
        <v>4</v>
      </c>
      <c r="E2" s="319" t="s">
        <v>5</v>
      </c>
      <c r="F2" s="313" t="s">
        <v>6</v>
      </c>
      <c r="G2" s="313" t="s">
        <v>7</v>
      </c>
      <c r="H2" s="313" t="s">
        <v>8</v>
      </c>
      <c r="I2" s="313" t="s">
        <v>9</v>
      </c>
      <c r="J2" s="313" t="s">
        <v>10</v>
      </c>
      <c r="K2" s="313" t="s">
        <v>11</v>
      </c>
      <c r="L2" s="314" t="s">
        <v>10</v>
      </c>
      <c r="M2" s="313" t="s">
        <v>12</v>
      </c>
      <c r="N2" s="313" t="s">
        <v>13</v>
      </c>
      <c r="O2" s="313" t="s">
        <v>14</v>
      </c>
      <c r="P2" s="325" t="s">
        <v>15</v>
      </c>
      <c r="Q2" s="326"/>
      <c r="R2" s="326"/>
      <c r="S2" s="326"/>
      <c r="T2" s="327"/>
      <c r="U2" s="313" t="s">
        <v>16</v>
      </c>
      <c r="V2" s="207" t="s">
        <v>17</v>
      </c>
      <c r="W2" s="321" t="s">
        <v>18</v>
      </c>
      <c r="X2" s="321"/>
      <c r="Y2" s="321" t="s">
        <v>19</v>
      </c>
      <c r="Z2" s="321"/>
      <c r="AA2" s="321" t="s">
        <v>20</v>
      </c>
      <c r="AB2" s="321"/>
      <c r="AC2" s="321"/>
      <c r="AD2" s="321"/>
      <c r="AE2" s="321" t="s">
        <v>21</v>
      </c>
      <c r="AF2" s="321"/>
      <c r="AG2" s="321"/>
      <c r="AH2" s="321"/>
      <c r="AI2" s="321" t="s">
        <v>22</v>
      </c>
      <c r="AJ2" s="321"/>
      <c r="AK2" s="321"/>
      <c r="AL2" s="321"/>
      <c r="AM2" s="321" t="s">
        <v>23</v>
      </c>
      <c r="AN2" s="321"/>
      <c r="AO2" s="321"/>
      <c r="AP2" s="322"/>
      <c r="AQ2" s="321" t="s">
        <v>24</v>
      </c>
      <c r="AR2" s="321"/>
      <c r="AS2" s="321"/>
      <c r="AT2" s="321"/>
      <c r="AU2" s="323" t="s">
        <v>25</v>
      </c>
      <c r="AV2" s="324" t="s">
        <v>26</v>
      </c>
      <c r="AW2" s="324"/>
      <c r="AX2" s="208"/>
      <c r="AY2" s="208"/>
      <c r="AZ2" s="208"/>
      <c r="BA2" s="324" t="s">
        <v>27</v>
      </c>
      <c r="BB2" s="320" t="s">
        <v>28</v>
      </c>
      <c r="BC2" s="320" t="s">
        <v>29</v>
      </c>
      <c r="BD2" s="320" t="s">
        <v>30</v>
      </c>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row>
    <row r="3" spans="1:140" s="3" customFormat="1" ht="27" customHeight="1" x14ac:dyDescent="0.3">
      <c r="A3" s="317"/>
      <c r="B3" s="317"/>
      <c r="C3" s="317"/>
      <c r="D3" s="318"/>
      <c r="E3" s="319"/>
      <c r="F3" s="313"/>
      <c r="G3" s="313"/>
      <c r="H3" s="313"/>
      <c r="I3" s="313"/>
      <c r="J3" s="313"/>
      <c r="K3" s="313"/>
      <c r="L3" s="314"/>
      <c r="M3" s="313"/>
      <c r="N3" s="313"/>
      <c r="O3" s="313"/>
      <c r="P3" s="209">
        <v>2024</v>
      </c>
      <c r="Q3" s="209">
        <v>2025</v>
      </c>
      <c r="R3" s="209">
        <v>2026</v>
      </c>
      <c r="S3" s="209">
        <v>2027</v>
      </c>
      <c r="T3" s="210" t="s">
        <v>31</v>
      </c>
      <c r="U3" s="313"/>
      <c r="V3" s="211" t="s">
        <v>32</v>
      </c>
      <c r="W3" s="211" t="s">
        <v>33</v>
      </c>
      <c r="X3" s="211" t="s">
        <v>32</v>
      </c>
      <c r="Y3" s="211" t="s">
        <v>34</v>
      </c>
      <c r="Z3" s="211" t="s">
        <v>35</v>
      </c>
      <c r="AA3" s="211" t="s">
        <v>36</v>
      </c>
      <c r="AB3" s="212" t="s">
        <v>37</v>
      </c>
      <c r="AC3" s="213" t="s">
        <v>38</v>
      </c>
      <c r="AD3" s="212" t="s">
        <v>31</v>
      </c>
      <c r="AE3" s="211" t="s">
        <v>36</v>
      </c>
      <c r="AF3" s="212" t="s">
        <v>37</v>
      </c>
      <c r="AG3" s="213" t="s">
        <v>38</v>
      </c>
      <c r="AH3" s="212" t="s">
        <v>31</v>
      </c>
      <c r="AI3" s="211" t="s">
        <v>36</v>
      </c>
      <c r="AJ3" s="212" t="s">
        <v>37</v>
      </c>
      <c r="AK3" s="213" t="s">
        <v>38</v>
      </c>
      <c r="AL3" s="212" t="s">
        <v>31</v>
      </c>
      <c r="AM3" s="211" t="s">
        <v>36</v>
      </c>
      <c r="AN3" s="212" t="s">
        <v>37</v>
      </c>
      <c r="AO3" s="213" t="s">
        <v>38</v>
      </c>
      <c r="AP3" s="214" t="s">
        <v>31</v>
      </c>
      <c r="AQ3" s="215" t="s">
        <v>36</v>
      </c>
      <c r="AR3" s="216" t="s">
        <v>37</v>
      </c>
      <c r="AS3" s="217" t="s">
        <v>38</v>
      </c>
      <c r="AT3" s="208" t="s">
        <v>31</v>
      </c>
      <c r="AU3" s="317"/>
      <c r="AV3" s="208" t="s">
        <v>39</v>
      </c>
      <c r="AW3" s="208" t="s">
        <v>34</v>
      </c>
      <c r="AX3" s="217" t="s">
        <v>40</v>
      </c>
      <c r="AY3" s="217" t="s">
        <v>41</v>
      </c>
      <c r="AZ3" s="217" t="s">
        <v>42</v>
      </c>
      <c r="BA3" s="324"/>
      <c r="BB3" s="320"/>
      <c r="BC3" s="320"/>
      <c r="BD3" s="320"/>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row>
    <row r="4" spans="1:140" s="23" customFormat="1" ht="8.25" customHeight="1" x14ac:dyDescent="0.2">
      <c r="A4" s="4"/>
      <c r="B4" s="4"/>
      <c r="C4" s="5"/>
      <c r="D4" s="6"/>
      <c r="E4" s="7"/>
      <c r="F4" s="5"/>
      <c r="G4" s="5"/>
      <c r="H4" s="5"/>
      <c r="I4" s="5"/>
      <c r="J4" s="5"/>
      <c r="K4" s="5"/>
      <c r="L4" s="8"/>
      <c r="M4" s="5"/>
      <c r="N4" s="5"/>
      <c r="O4" s="5"/>
      <c r="P4" s="9"/>
      <c r="Q4" s="9"/>
      <c r="R4" s="9"/>
      <c r="S4" s="9"/>
      <c r="T4" s="9"/>
      <c r="U4" s="10"/>
      <c r="V4" s="5"/>
      <c r="W4" s="11"/>
      <c r="X4" s="12"/>
      <c r="Y4" s="12"/>
      <c r="Z4" s="12"/>
      <c r="AA4" s="12"/>
      <c r="AB4" s="13"/>
      <c r="AC4" s="14"/>
      <c r="AD4" s="13"/>
      <c r="AE4" s="12"/>
      <c r="AF4" s="13"/>
      <c r="AG4" s="14"/>
      <c r="AH4" s="13"/>
      <c r="AI4" s="12"/>
      <c r="AJ4" s="13"/>
      <c r="AK4" s="14"/>
      <c r="AL4" s="13"/>
      <c r="AM4" s="12"/>
      <c r="AN4" s="13"/>
      <c r="AO4" s="14"/>
      <c r="AP4" s="15"/>
      <c r="AQ4" s="16"/>
      <c r="AR4" s="17"/>
      <c r="AS4" s="18"/>
      <c r="AT4" s="19"/>
      <c r="AU4" s="19"/>
      <c r="AV4" s="20"/>
      <c r="AW4" s="21"/>
      <c r="AX4" s="21"/>
      <c r="AY4" s="21"/>
      <c r="AZ4" s="21"/>
      <c r="BA4" s="21"/>
      <c r="BB4" s="19"/>
      <c r="BC4" s="18"/>
      <c r="BD4" s="19"/>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row>
    <row r="5" spans="1:140" s="22" customFormat="1" ht="9" hidden="1" customHeight="1" x14ac:dyDescent="0.2">
      <c r="A5" s="24"/>
      <c r="B5" s="24"/>
      <c r="C5" s="25"/>
      <c r="D5" s="26"/>
      <c r="E5" s="27" t="s">
        <v>43</v>
      </c>
      <c r="F5" s="242"/>
      <c r="G5" s="28"/>
      <c r="H5" s="29"/>
      <c r="I5" s="30" t="s">
        <v>44</v>
      </c>
      <c r="J5" s="31"/>
      <c r="K5" s="25"/>
      <c r="L5" s="32"/>
      <c r="M5" s="25"/>
      <c r="N5" s="25"/>
      <c r="O5" s="25"/>
      <c r="P5" s="33"/>
      <c r="Q5" s="33"/>
      <c r="R5" s="33"/>
      <c r="S5" s="33"/>
      <c r="T5" s="33"/>
      <c r="U5" s="34"/>
      <c r="V5" s="25"/>
      <c r="W5" s="35"/>
      <c r="X5" s="36"/>
      <c r="Y5" s="36"/>
      <c r="Z5" s="36"/>
      <c r="AA5" s="37">
        <f>+[5]GASTOS_FUNC_2024_2027!E12</f>
        <v>3022952989</v>
      </c>
      <c r="AB5" s="38">
        <f>+[5]GASTOS_FUNC_2024_2027!D12</f>
        <v>3035501000</v>
      </c>
      <c r="AC5" s="39"/>
      <c r="AD5" s="38">
        <f>SUM(AA5:AC5)</f>
        <v>6058453989</v>
      </c>
      <c r="AE5" s="37">
        <f>+[5]GASTOS_FUNC_2024_2027!H12</f>
        <v>5436039514</v>
      </c>
      <c r="AF5" s="38">
        <f>+[5]GASTOS_FUNC_2024_2027!G12</f>
        <v>3217631060</v>
      </c>
      <c r="AG5" s="39"/>
      <c r="AH5" s="38">
        <f>SUM(AE5:AG5)</f>
        <v>8653670574</v>
      </c>
      <c r="AI5" s="37">
        <f>+[5]GASTOS_FUNC_2024_2027!K12</f>
        <v>5979643468</v>
      </c>
      <c r="AJ5" s="38">
        <f>+[5]GASTOS_FUNC_2024_2027!J12</f>
        <v>3314159992</v>
      </c>
      <c r="AK5" s="39"/>
      <c r="AL5" s="38">
        <f>SUM(AI5:AK5)</f>
        <v>9293803460</v>
      </c>
      <c r="AM5" s="37">
        <f>+[5]GASTOS_FUNC_2024_2027!N12</f>
        <v>6577607817</v>
      </c>
      <c r="AN5" s="38">
        <f>+[5]GASTOS_FUNC_2024_2027!M12</f>
        <v>3413584792</v>
      </c>
      <c r="AO5" s="39"/>
      <c r="AP5" s="40">
        <f>SUM(AM5:AO5)</f>
        <v>9991192609</v>
      </c>
      <c r="AQ5" s="41">
        <f>+AA5+AE5+AI5+AM5</f>
        <v>21016243788</v>
      </c>
      <c r="AR5" s="41">
        <f>+AB5+AF5+AJ5+AN5</f>
        <v>12980876844</v>
      </c>
      <c r="AS5" s="42"/>
      <c r="AT5" s="43">
        <f>SUM(AQ5:AS5)</f>
        <v>33997120632</v>
      </c>
      <c r="AU5" s="43"/>
      <c r="AV5" s="44"/>
      <c r="AW5" s="45"/>
      <c r="AX5" s="45"/>
      <c r="AY5" s="45"/>
      <c r="AZ5" s="45"/>
      <c r="BA5" s="45"/>
      <c r="BC5" s="46"/>
    </row>
    <row r="6" spans="1:140" s="69" customFormat="1" ht="18" hidden="1" customHeight="1" x14ac:dyDescent="0.2">
      <c r="A6" s="47"/>
      <c r="B6" s="47"/>
      <c r="C6" s="48"/>
      <c r="D6" s="49"/>
      <c r="E6" s="50"/>
      <c r="F6" s="243"/>
      <c r="G6" s="51"/>
      <c r="H6" s="52"/>
      <c r="I6" s="53" t="s">
        <v>45</v>
      </c>
      <c r="J6" s="54"/>
      <c r="K6" s="48"/>
      <c r="L6" s="55"/>
      <c r="M6" s="48"/>
      <c r="N6" s="48"/>
      <c r="O6" s="48"/>
      <c r="P6" s="56"/>
      <c r="Q6" s="56"/>
      <c r="R6" s="56"/>
      <c r="S6" s="56"/>
      <c r="T6" s="56"/>
      <c r="U6" s="57"/>
      <c r="V6" s="48"/>
      <c r="W6" s="58"/>
      <c r="X6" s="59"/>
      <c r="Y6" s="59"/>
      <c r="Z6" s="59"/>
      <c r="AA6" s="60">
        <f>+[5]GASTOS_FUNC_2024_2027!E59</f>
        <v>5492492000</v>
      </c>
      <c r="AB6" s="61"/>
      <c r="AC6" s="62"/>
      <c r="AD6" s="61">
        <f t="shared" ref="AD6:AD8" si="0">SUM(AA6:AC6)</f>
        <v>5492492000</v>
      </c>
      <c r="AE6" s="60">
        <f>+[5]GASTOS_FUNC_2024_2027!H59</f>
        <v>5822041520</v>
      </c>
      <c r="AF6" s="61"/>
      <c r="AG6" s="62"/>
      <c r="AH6" s="61">
        <f t="shared" ref="AH6:AH8" si="1">SUM(AE6:AG6)</f>
        <v>5822041520</v>
      </c>
      <c r="AI6" s="60">
        <f>+[5]GASTOS_FUNC_2024_2027!K59</f>
        <v>6404245672</v>
      </c>
      <c r="AJ6" s="61"/>
      <c r="AK6" s="62"/>
      <c r="AL6" s="61">
        <f t="shared" ref="AL6:AL8" si="2">SUM(AI6:AK6)</f>
        <v>6404245672</v>
      </c>
      <c r="AM6" s="60">
        <f>+[5]GASTOS_FUNC_2024_2027!N59</f>
        <v>7030692231</v>
      </c>
      <c r="AN6" s="61"/>
      <c r="AO6" s="62"/>
      <c r="AP6" s="63">
        <f t="shared" ref="AP6:AP8" si="3">SUM(AM6:AO6)</f>
        <v>7030692231</v>
      </c>
      <c r="AQ6" s="64">
        <f>+AA6+AE6+AI6+AM6</f>
        <v>24749471423</v>
      </c>
      <c r="AR6" s="64"/>
      <c r="AS6" s="65"/>
      <c r="AT6" s="66">
        <f>SUM(AQ6:AS6)</f>
        <v>24749471423</v>
      </c>
      <c r="AU6" s="66"/>
      <c r="AV6" s="67"/>
      <c r="AW6" s="68"/>
      <c r="AX6" s="68"/>
      <c r="AY6" s="68"/>
      <c r="AZ6" s="68"/>
      <c r="BA6" s="68"/>
      <c r="BC6" s="70"/>
    </row>
    <row r="7" spans="1:140" s="69" customFormat="1" ht="18" hidden="1" customHeight="1" x14ac:dyDescent="0.2">
      <c r="A7" s="47"/>
      <c r="B7" s="47"/>
      <c r="C7" s="48"/>
      <c r="D7" s="49"/>
      <c r="E7" s="50"/>
      <c r="F7" s="243"/>
      <c r="G7" s="51"/>
      <c r="H7" s="52"/>
      <c r="I7" s="53" t="s">
        <v>46</v>
      </c>
      <c r="J7" s="54"/>
      <c r="K7" s="48"/>
      <c r="L7" s="55"/>
      <c r="M7" s="48"/>
      <c r="N7" s="48"/>
      <c r="O7" s="48"/>
      <c r="P7" s="56"/>
      <c r="Q7" s="56"/>
      <c r="R7" s="56"/>
      <c r="S7" s="56"/>
      <c r="T7" s="56"/>
      <c r="U7" s="57"/>
      <c r="V7" s="48"/>
      <c r="W7" s="58"/>
      <c r="X7" s="59"/>
      <c r="Y7" s="59"/>
      <c r="Z7" s="59"/>
      <c r="AA7" s="60">
        <f>+[5]GASTOS_FUNC_2024_2027!E116</f>
        <v>1505135433</v>
      </c>
      <c r="AB7" s="61">
        <f>+[5]GASTOS_FUNC_2024_2027!D116</f>
        <v>134507000</v>
      </c>
      <c r="AC7" s="62"/>
      <c r="AD7" s="61">
        <f t="shared" si="0"/>
        <v>1639642433</v>
      </c>
      <c r="AE7" s="60">
        <f>+[5]GASTOS_FUNC_2024_2027!H116</f>
        <v>1574633299</v>
      </c>
      <c r="AF7" s="61">
        <f>+[5]GASTOS_FUNC_2024_2027!G116</f>
        <v>142577420</v>
      </c>
      <c r="AG7" s="62"/>
      <c r="AH7" s="61">
        <f t="shared" si="1"/>
        <v>1717210719</v>
      </c>
      <c r="AI7" s="60">
        <f>+[5]GASTOS_FUNC_2024_2027!K116</f>
        <v>1753625295</v>
      </c>
      <c r="AJ7" s="61">
        <f>+[5]GASTOS_FUNC_2024_2027!J116</f>
        <v>146854743</v>
      </c>
      <c r="AK7" s="62"/>
      <c r="AL7" s="61">
        <f t="shared" si="2"/>
        <v>1900480038</v>
      </c>
      <c r="AM7" s="60">
        <f>+[5]GASTOS_FUNC_2024_2027!N116</f>
        <v>1953086490</v>
      </c>
      <c r="AN7" s="61">
        <f>+[5]GASTOS_FUNC_2024_2027!M116</f>
        <v>151260385</v>
      </c>
      <c r="AO7" s="62"/>
      <c r="AP7" s="63">
        <f t="shared" si="3"/>
        <v>2104346875</v>
      </c>
      <c r="AQ7" s="64">
        <f>+AA7+AE7+AI7+AM7</f>
        <v>6786480517</v>
      </c>
      <c r="AR7" s="64">
        <f>+AB7+AF7+AJ7+AN7</f>
        <v>575199548</v>
      </c>
      <c r="AS7" s="65"/>
      <c r="AT7" s="66">
        <f>SUM(AQ7:AS7)</f>
        <v>7361680065</v>
      </c>
      <c r="AU7" s="66"/>
      <c r="AV7" s="67"/>
      <c r="AW7" s="68"/>
      <c r="AX7" s="68"/>
      <c r="AY7" s="68"/>
      <c r="AZ7" s="68"/>
      <c r="BA7" s="68"/>
      <c r="BC7" s="70"/>
    </row>
    <row r="8" spans="1:140" s="69" customFormat="1" ht="27" hidden="1" customHeight="1" x14ac:dyDescent="0.2">
      <c r="A8" s="47"/>
      <c r="B8" s="47"/>
      <c r="C8" s="48"/>
      <c r="D8" s="49"/>
      <c r="E8" s="50"/>
      <c r="F8" s="243"/>
      <c r="G8" s="51"/>
      <c r="H8" s="52"/>
      <c r="I8" s="53" t="s">
        <v>47</v>
      </c>
      <c r="J8" s="54"/>
      <c r="K8" s="48"/>
      <c r="L8" s="55"/>
      <c r="M8" s="48"/>
      <c r="N8" s="48"/>
      <c r="O8" s="48"/>
      <c r="P8" s="56"/>
      <c r="Q8" s="56"/>
      <c r="R8" s="56"/>
      <c r="S8" s="56"/>
      <c r="T8" s="56"/>
      <c r="U8" s="57"/>
      <c r="V8" s="48"/>
      <c r="W8" s="58"/>
      <c r="X8" s="59"/>
      <c r="Y8" s="59"/>
      <c r="Z8" s="59"/>
      <c r="AA8" s="60">
        <f>+[5]GASTOS_FUNC_2024_2027!E132</f>
        <v>228600000</v>
      </c>
      <c r="AB8" s="61">
        <f>+[5]GASTOS_FUNC_2024_2027!D132</f>
        <v>8408000</v>
      </c>
      <c r="AC8" s="62"/>
      <c r="AD8" s="61">
        <f t="shared" si="0"/>
        <v>237008000</v>
      </c>
      <c r="AE8" s="60">
        <f>+[5]GASTOS_FUNC_2024_2027!H132</f>
        <v>242316000</v>
      </c>
      <c r="AF8" s="61">
        <f>+[5]GASTOS_FUNC_2024_2027!G132</f>
        <v>8912480</v>
      </c>
      <c r="AG8" s="62"/>
      <c r="AH8" s="61">
        <f t="shared" si="1"/>
        <v>251228480</v>
      </c>
      <c r="AI8" s="60">
        <f>+[5]GASTOS_FUNC_2024_2027!K132</f>
        <v>266547600</v>
      </c>
      <c r="AJ8" s="61">
        <f>+[5]GASTOS_FUNC_2024_2027!J132</f>
        <v>9179853</v>
      </c>
      <c r="AK8" s="62"/>
      <c r="AL8" s="61">
        <f t="shared" si="2"/>
        <v>275727453</v>
      </c>
      <c r="AM8" s="60">
        <f>+[5]GASTOS_FUNC_2024_2027!N132</f>
        <v>293202360</v>
      </c>
      <c r="AN8" s="61">
        <f>+[5]GASTOS_FUNC_2024_2027!M132</f>
        <v>9455249</v>
      </c>
      <c r="AO8" s="62"/>
      <c r="AP8" s="63">
        <f t="shared" si="3"/>
        <v>302657609</v>
      </c>
      <c r="AQ8" s="64">
        <f>+AA8+AE8+AI8+AM8</f>
        <v>1030665960</v>
      </c>
      <c r="AR8" s="64">
        <f>+AB8+AF8+AJ8+AN8</f>
        <v>35955582</v>
      </c>
      <c r="AS8" s="65"/>
      <c r="AT8" s="66">
        <f>SUM(AQ8:AS8)</f>
        <v>1066621542</v>
      </c>
      <c r="AU8" s="66"/>
      <c r="AV8" s="67"/>
      <c r="AW8" s="68"/>
      <c r="AX8" s="68"/>
      <c r="AY8" s="68"/>
      <c r="AZ8" s="68"/>
      <c r="BA8" s="68"/>
      <c r="BC8" s="70"/>
    </row>
    <row r="9" spans="1:140" s="69" customFormat="1" ht="9" hidden="1" customHeight="1" x14ac:dyDescent="0.2">
      <c r="A9" s="71"/>
      <c r="B9" s="71"/>
      <c r="C9" s="48"/>
      <c r="D9" s="49"/>
      <c r="E9" s="50"/>
      <c r="F9" s="243"/>
      <c r="G9" s="51"/>
      <c r="H9" s="59"/>
      <c r="I9" s="72" t="s">
        <v>48</v>
      </c>
      <c r="J9" s="73"/>
      <c r="K9" s="73"/>
      <c r="L9" s="74"/>
      <c r="M9" s="73"/>
      <c r="N9" s="73"/>
      <c r="O9" s="73"/>
      <c r="P9" s="75"/>
      <c r="Q9" s="75"/>
      <c r="R9" s="75"/>
      <c r="S9" s="75"/>
      <c r="T9" s="75"/>
      <c r="U9" s="76"/>
      <c r="V9" s="73"/>
      <c r="W9" s="77"/>
      <c r="X9" s="72"/>
      <c r="Y9" s="72"/>
      <c r="Z9" s="72"/>
      <c r="AA9" s="78">
        <f t="shared" ref="AA9:AT9" si="4">SUM(AA5:AA8)</f>
        <v>10249180422</v>
      </c>
      <c r="AB9" s="79">
        <f t="shared" si="4"/>
        <v>3178416000</v>
      </c>
      <c r="AC9" s="79">
        <f t="shared" si="4"/>
        <v>0</v>
      </c>
      <c r="AD9" s="79">
        <f t="shared" si="4"/>
        <v>13427596422</v>
      </c>
      <c r="AE9" s="78">
        <f t="shared" si="4"/>
        <v>13075030333</v>
      </c>
      <c r="AF9" s="79">
        <f t="shared" si="4"/>
        <v>3369120960</v>
      </c>
      <c r="AG9" s="79">
        <f t="shared" si="4"/>
        <v>0</v>
      </c>
      <c r="AH9" s="79">
        <f t="shared" si="4"/>
        <v>16444151293</v>
      </c>
      <c r="AI9" s="79">
        <f t="shared" si="4"/>
        <v>14404062035</v>
      </c>
      <c r="AJ9" s="79">
        <f t="shared" si="4"/>
        <v>3470194588</v>
      </c>
      <c r="AK9" s="79">
        <f t="shared" si="4"/>
        <v>0</v>
      </c>
      <c r="AL9" s="79">
        <f t="shared" si="4"/>
        <v>17874256623</v>
      </c>
      <c r="AM9" s="79">
        <f t="shared" si="4"/>
        <v>15854588898</v>
      </c>
      <c r="AN9" s="79">
        <f t="shared" si="4"/>
        <v>3574300426</v>
      </c>
      <c r="AO9" s="79">
        <f t="shared" si="4"/>
        <v>0</v>
      </c>
      <c r="AP9" s="80">
        <f t="shared" si="4"/>
        <v>19428889324</v>
      </c>
      <c r="AQ9" s="79">
        <f t="shared" si="4"/>
        <v>53582861688</v>
      </c>
      <c r="AR9" s="79">
        <f t="shared" si="4"/>
        <v>13592031974</v>
      </c>
      <c r="AS9" s="79">
        <f t="shared" si="4"/>
        <v>0</v>
      </c>
      <c r="AT9" s="79">
        <f t="shared" si="4"/>
        <v>67174893662</v>
      </c>
      <c r="AU9" s="79"/>
      <c r="AV9" s="81"/>
      <c r="AW9" s="82"/>
      <c r="AX9" s="82"/>
      <c r="AY9" s="82"/>
      <c r="AZ9" s="82"/>
      <c r="BA9" s="82"/>
      <c r="BC9" s="70"/>
    </row>
    <row r="10" spans="1:140" s="69" customFormat="1" ht="76.8" x14ac:dyDescent="0.2">
      <c r="A10" s="245" t="s">
        <v>49</v>
      </c>
      <c r="B10" s="245">
        <v>50</v>
      </c>
      <c r="C10" s="248" t="s">
        <v>50</v>
      </c>
      <c r="D10" s="249">
        <v>55</v>
      </c>
      <c r="E10" s="255" t="s">
        <v>51</v>
      </c>
      <c r="F10" s="256">
        <f>+[5]Pond!AF24</f>
        <v>19</v>
      </c>
      <c r="G10" s="255" t="s">
        <v>52</v>
      </c>
      <c r="H10" s="255" t="s">
        <v>53</v>
      </c>
      <c r="I10" s="257" t="s">
        <v>54</v>
      </c>
      <c r="J10" s="258">
        <f>+[5]Pond!AF25</f>
        <v>39</v>
      </c>
      <c r="K10" s="83" t="s">
        <v>55</v>
      </c>
      <c r="L10" s="84">
        <v>20</v>
      </c>
      <c r="M10" s="83" t="s">
        <v>56</v>
      </c>
      <c r="N10" s="83" t="s">
        <v>57</v>
      </c>
      <c r="O10" s="83" t="s">
        <v>58</v>
      </c>
      <c r="P10" s="85">
        <v>150</v>
      </c>
      <c r="Q10" s="85">
        <v>150</v>
      </c>
      <c r="R10" s="85">
        <v>150</v>
      </c>
      <c r="S10" s="85">
        <v>150</v>
      </c>
      <c r="T10" s="85">
        <f>SUM(P10:S10)</f>
        <v>600</v>
      </c>
      <c r="U10" s="86"/>
      <c r="V10" s="87"/>
      <c r="W10" s="88" t="s">
        <v>59</v>
      </c>
      <c r="X10" s="89" t="s">
        <v>60</v>
      </c>
      <c r="Y10" s="90"/>
      <c r="Z10" s="90"/>
      <c r="AA10" s="263">
        <f>+'[5]Gastos por fuentes 2024'!D90</f>
        <v>233499200</v>
      </c>
      <c r="AB10" s="263"/>
      <c r="AC10" s="263"/>
      <c r="AD10" s="263">
        <f>SUM(AA10:AC10)</f>
        <v>233499200</v>
      </c>
      <c r="AE10" s="263">
        <f>+EVEN(AA10*3%+AA10)+40000000</f>
        <v>280504176</v>
      </c>
      <c r="AF10" s="263"/>
      <c r="AG10" s="263"/>
      <c r="AH10" s="263">
        <f>SUM(AE10:AG10)</f>
        <v>280504176</v>
      </c>
      <c r="AI10" s="289">
        <f>+EVEN(AE10*10%+AE10)</f>
        <v>308554594</v>
      </c>
      <c r="AJ10" s="263"/>
      <c r="AK10" s="263"/>
      <c r="AL10" s="263">
        <f>SUM(AI10:AK10)</f>
        <v>308554594</v>
      </c>
      <c r="AM10" s="289">
        <f>+EVEN(AI10*10%+AI10)</f>
        <v>339410054</v>
      </c>
      <c r="AN10" s="263"/>
      <c r="AO10" s="263"/>
      <c r="AP10" s="290">
        <f>SUM(AM10:AO10)</f>
        <v>339410054</v>
      </c>
      <c r="AQ10" s="289">
        <f t="shared" ref="AQ10:AT15" si="5">+AA10+AE10+AI10+AM10</f>
        <v>1161968024</v>
      </c>
      <c r="AR10" s="263">
        <f t="shared" si="5"/>
        <v>0</v>
      </c>
      <c r="AS10" s="263">
        <f t="shared" si="5"/>
        <v>0</v>
      </c>
      <c r="AT10" s="263">
        <f t="shared" si="5"/>
        <v>1161968024</v>
      </c>
      <c r="AU10" s="91" t="s">
        <v>61</v>
      </c>
      <c r="AV10" s="83" t="s">
        <v>62</v>
      </c>
      <c r="AW10" s="83" t="s">
        <v>63</v>
      </c>
      <c r="AX10" s="92" t="s">
        <v>64</v>
      </c>
      <c r="AY10" s="92" t="s">
        <v>65</v>
      </c>
      <c r="AZ10" s="92" t="s">
        <v>66</v>
      </c>
      <c r="BA10" s="287" t="s">
        <v>67</v>
      </c>
      <c r="BB10" s="93" t="s">
        <v>68</v>
      </c>
      <c r="BC10" s="93" t="s">
        <v>69</v>
      </c>
      <c r="BD10" s="93" t="s">
        <v>70</v>
      </c>
    </row>
    <row r="11" spans="1:140" s="69" customFormat="1" ht="67.2" x14ac:dyDescent="0.2">
      <c r="A11" s="246"/>
      <c r="B11" s="246"/>
      <c r="C11" s="248"/>
      <c r="D11" s="249"/>
      <c r="E11" s="255"/>
      <c r="F11" s="256"/>
      <c r="G11" s="255"/>
      <c r="H11" s="255"/>
      <c r="I11" s="257"/>
      <c r="J11" s="258"/>
      <c r="K11" s="83" t="s">
        <v>71</v>
      </c>
      <c r="L11" s="84">
        <v>20</v>
      </c>
      <c r="M11" s="83" t="s">
        <v>72</v>
      </c>
      <c r="N11" s="83" t="s">
        <v>57</v>
      </c>
      <c r="O11" s="83" t="s">
        <v>73</v>
      </c>
      <c r="P11" s="85">
        <v>100</v>
      </c>
      <c r="Q11" s="85">
        <v>100</v>
      </c>
      <c r="R11" s="85">
        <v>100</v>
      </c>
      <c r="S11" s="85">
        <v>100</v>
      </c>
      <c r="T11" s="85">
        <v>100</v>
      </c>
      <c r="U11" s="86" t="s">
        <v>74</v>
      </c>
      <c r="V11" s="87"/>
      <c r="W11" s="90"/>
      <c r="X11" s="90"/>
      <c r="Y11" s="90"/>
      <c r="Z11" s="90"/>
      <c r="AA11" s="263"/>
      <c r="AB11" s="263"/>
      <c r="AC11" s="263"/>
      <c r="AD11" s="263"/>
      <c r="AE11" s="263"/>
      <c r="AF11" s="263"/>
      <c r="AG11" s="263"/>
      <c r="AH11" s="263"/>
      <c r="AI11" s="289">
        <f t="shared" ref="AI11:AI14" si="6">+EVEN(AE11*6%+AE11)</f>
        <v>0</v>
      </c>
      <c r="AJ11" s="263"/>
      <c r="AK11" s="263"/>
      <c r="AL11" s="263"/>
      <c r="AM11" s="289">
        <f>+EVEN(AI11*6%+AI11)</f>
        <v>0</v>
      </c>
      <c r="AN11" s="263"/>
      <c r="AO11" s="263"/>
      <c r="AP11" s="290"/>
      <c r="AQ11" s="289">
        <f t="shared" si="5"/>
        <v>0</v>
      </c>
      <c r="AR11" s="263">
        <f t="shared" si="5"/>
        <v>0</v>
      </c>
      <c r="AS11" s="263">
        <f t="shared" si="5"/>
        <v>0</v>
      </c>
      <c r="AT11" s="263">
        <f t="shared" si="5"/>
        <v>0</v>
      </c>
      <c r="AU11" s="91" t="s">
        <v>61</v>
      </c>
      <c r="AV11" s="83" t="s">
        <v>75</v>
      </c>
      <c r="AW11" s="83" t="s">
        <v>76</v>
      </c>
      <c r="AX11" s="92" t="s">
        <v>64</v>
      </c>
      <c r="AY11" s="92" t="s">
        <v>65</v>
      </c>
      <c r="AZ11" s="92" t="s">
        <v>66</v>
      </c>
      <c r="BA11" s="287"/>
      <c r="BB11" s="93" t="s">
        <v>68</v>
      </c>
      <c r="BC11" s="93" t="s">
        <v>77</v>
      </c>
      <c r="BD11" s="93" t="s">
        <v>70</v>
      </c>
    </row>
    <row r="12" spans="1:140" s="69" customFormat="1" ht="38.4" x14ac:dyDescent="0.2">
      <c r="A12" s="246"/>
      <c r="B12" s="246"/>
      <c r="C12" s="248"/>
      <c r="D12" s="249"/>
      <c r="E12" s="255"/>
      <c r="F12" s="256"/>
      <c r="G12" s="255"/>
      <c r="H12" s="255"/>
      <c r="I12" s="257"/>
      <c r="J12" s="258"/>
      <c r="K12" s="83" t="s">
        <v>78</v>
      </c>
      <c r="L12" s="84">
        <v>20</v>
      </c>
      <c r="M12" s="83" t="s">
        <v>79</v>
      </c>
      <c r="N12" s="83" t="s">
        <v>80</v>
      </c>
      <c r="O12" s="83" t="s">
        <v>81</v>
      </c>
      <c r="P12" s="85">
        <v>100</v>
      </c>
      <c r="Q12" s="85">
        <v>100</v>
      </c>
      <c r="R12" s="85">
        <v>100</v>
      </c>
      <c r="S12" s="85">
        <v>100</v>
      </c>
      <c r="T12" s="85">
        <v>100</v>
      </c>
      <c r="U12" s="86" t="s">
        <v>82</v>
      </c>
      <c r="V12" s="94" t="str">
        <f>+M12</f>
        <v>Porcentaje de autorizaciones ambientales con seguimiento (Permisos de Aprovechamiento Forestal) (IMG Res. 667 /16)</v>
      </c>
      <c r="W12" s="88" t="s">
        <v>83</v>
      </c>
      <c r="X12" s="89" t="s">
        <v>84</v>
      </c>
      <c r="Y12" s="90"/>
      <c r="Z12" s="90"/>
      <c r="AA12" s="263"/>
      <c r="AB12" s="263"/>
      <c r="AC12" s="263"/>
      <c r="AD12" s="263"/>
      <c r="AE12" s="263"/>
      <c r="AF12" s="263"/>
      <c r="AG12" s="263"/>
      <c r="AH12" s="263"/>
      <c r="AI12" s="289">
        <f t="shared" si="6"/>
        <v>0</v>
      </c>
      <c r="AJ12" s="263"/>
      <c r="AK12" s="263"/>
      <c r="AL12" s="263"/>
      <c r="AM12" s="289">
        <f>+EVEN(AI12*6%+AI12)</f>
        <v>0</v>
      </c>
      <c r="AN12" s="263"/>
      <c r="AO12" s="263"/>
      <c r="AP12" s="290"/>
      <c r="AQ12" s="289">
        <f t="shared" si="5"/>
        <v>0</v>
      </c>
      <c r="AR12" s="263">
        <f t="shared" si="5"/>
        <v>0</v>
      </c>
      <c r="AS12" s="263">
        <f t="shared" si="5"/>
        <v>0</v>
      </c>
      <c r="AT12" s="263">
        <f t="shared" si="5"/>
        <v>0</v>
      </c>
      <c r="AU12" s="91" t="s">
        <v>61</v>
      </c>
      <c r="AV12" s="83" t="s">
        <v>85</v>
      </c>
      <c r="AW12" s="83" t="s">
        <v>85</v>
      </c>
      <c r="AX12" s="92" t="s">
        <v>64</v>
      </c>
      <c r="AY12" s="92" t="s">
        <v>65</v>
      </c>
      <c r="AZ12" s="92" t="s">
        <v>66</v>
      </c>
      <c r="BA12" s="287"/>
      <c r="BB12" s="93" t="s">
        <v>68</v>
      </c>
      <c r="BC12" s="93" t="s">
        <v>77</v>
      </c>
      <c r="BD12" s="93" t="s">
        <v>70</v>
      </c>
    </row>
    <row r="13" spans="1:140" s="69" customFormat="1" ht="38.4" x14ac:dyDescent="0.2">
      <c r="A13" s="246"/>
      <c r="B13" s="246"/>
      <c r="C13" s="248"/>
      <c r="D13" s="249"/>
      <c r="E13" s="255"/>
      <c r="F13" s="256"/>
      <c r="G13" s="255"/>
      <c r="H13" s="255"/>
      <c r="I13" s="257"/>
      <c r="J13" s="258"/>
      <c r="K13" s="83" t="s">
        <v>86</v>
      </c>
      <c r="L13" s="84">
        <v>20</v>
      </c>
      <c r="M13" s="83" t="s">
        <v>87</v>
      </c>
      <c r="N13" s="83" t="s">
        <v>88</v>
      </c>
      <c r="O13" s="94" t="s">
        <v>89</v>
      </c>
      <c r="P13" s="85">
        <v>60</v>
      </c>
      <c r="Q13" s="85">
        <v>60</v>
      </c>
      <c r="R13" s="85">
        <v>60</v>
      </c>
      <c r="S13" s="85">
        <v>60</v>
      </c>
      <c r="T13" s="85">
        <v>60</v>
      </c>
      <c r="U13" s="86"/>
      <c r="V13" s="94" t="str">
        <f>+M13</f>
        <v>Tiempo promedio de trámite para la resolución de autorizaciones ambientales otorgadas por la Corporación (Permiso de Aprovechamiento Forestal) (IMG Res.667/16)</v>
      </c>
      <c r="W13" s="88"/>
      <c r="X13" s="89"/>
      <c r="Y13" s="90"/>
      <c r="Z13" s="90"/>
      <c r="AA13" s="263"/>
      <c r="AB13" s="263"/>
      <c r="AC13" s="263"/>
      <c r="AD13" s="263"/>
      <c r="AE13" s="263"/>
      <c r="AF13" s="263"/>
      <c r="AG13" s="263"/>
      <c r="AH13" s="263"/>
      <c r="AI13" s="289">
        <f t="shared" si="6"/>
        <v>0</v>
      </c>
      <c r="AJ13" s="263"/>
      <c r="AK13" s="263"/>
      <c r="AL13" s="263"/>
      <c r="AM13" s="289">
        <f>+EVEN(AI13*6%+AI13)</f>
        <v>0</v>
      </c>
      <c r="AN13" s="263"/>
      <c r="AO13" s="263"/>
      <c r="AP13" s="290"/>
      <c r="AQ13" s="289">
        <f t="shared" si="5"/>
        <v>0</v>
      </c>
      <c r="AR13" s="263">
        <f t="shared" si="5"/>
        <v>0</v>
      </c>
      <c r="AS13" s="263">
        <f t="shared" si="5"/>
        <v>0</v>
      </c>
      <c r="AT13" s="263">
        <f t="shared" si="5"/>
        <v>0</v>
      </c>
      <c r="AU13" s="91" t="s">
        <v>61</v>
      </c>
      <c r="AV13" s="83" t="s">
        <v>85</v>
      </c>
      <c r="AW13" s="83" t="s">
        <v>85</v>
      </c>
      <c r="AX13" s="92" t="s">
        <v>64</v>
      </c>
      <c r="AY13" s="92" t="s">
        <v>65</v>
      </c>
      <c r="AZ13" s="92" t="s">
        <v>66</v>
      </c>
      <c r="BA13" s="287"/>
      <c r="BB13" s="93" t="s">
        <v>68</v>
      </c>
      <c r="BC13" s="93" t="s">
        <v>77</v>
      </c>
      <c r="BD13" s="93" t="s">
        <v>70</v>
      </c>
    </row>
    <row r="14" spans="1:140" s="69" customFormat="1" ht="96" x14ac:dyDescent="0.2">
      <c r="A14" s="246"/>
      <c r="B14" s="246"/>
      <c r="C14" s="248"/>
      <c r="D14" s="249"/>
      <c r="E14" s="255"/>
      <c r="F14" s="256"/>
      <c r="G14" s="255"/>
      <c r="H14" s="255"/>
      <c r="I14" s="257"/>
      <c r="J14" s="258"/>
      <c r="K14" s="83" t="s">
        <v>90</v>
      </c>
      <c r="L14" s="84">
        <v>20</v>
      </c>
      <c r="M14" s="83" t="s">
        <v>91</v>
      </c>
      <c r="N14" s="83" t="s">
        <v>57</v>
      </c>
      <c r="O14" s="83" t="s">
        <v>58</v>
      </c>
      <c r="P14" s="85">
        <v>1</v>
      </c>
      <c r="Q14" s="85">
        <v>1</v>
      </c>
      <c r="R14" s="85">
        <v>1</v>
      </c>
      <c r="S14" s="85">
        <v>1</v>
      </c>
      <c r="T14" s="85">
        <f>SUM(P14:S14)</f>
        <v>4</v>
      </c>
      <c r="U14" s="86"/>
      <c r="V14" s="87"/>
      <c r="W14" s="88" t="s">
        <v>92</v>
      </c>
      <c r="X14" s="89" t="s">
        <v>93</v>
      </c>
      <c r="Y14" s="90"/>
      <c r="Z14" s="90"/>
      <c r="AA14" s="263"/>
      <c r="AB14" s="263"/>
      <c r="AC14" s="263"/>
      <c r="AD14" s="263"/>
      <c r="AE14" s="263"/>
      <c r="AF14" s="263"/>
      <c r="AG14" s="263"/>
      <c r="AH14" s="263"/>
      <c r="AI14" s="289">
        <f t="shared" si="6"/>
        <v>0</v>
      </c>
      <c r="AJ14" s="263"/>
      <c r="AK14" s="263"/>
      <c r="AL14" s="263"/>
      <c r="AM14" s="289">
        <f>+EVEN(AI14*6%+AI14)</f>
        <v>0</v>
      </c>
      <c r="AN14" s="263"/>
      <c r="AO14" s="263"/>
      <c r="AP14" s="290"/>
      <c r="AQ14" s="289">
        <f t="shared" si="5"/>
        <v>0</v>
      </c>
      <c r="AR14" s="263">
        <f t="shared" si="5"/>
        <v>0</v>
      </c>
      <c r="AS14" s="263">
        <f t="shared" si="5"/>
        <v>0</v>
      </c>
      <c r="AT14" s="263">
        <f t="shared" si="5"/>
        <v>0</v>
      </c>
      <c r="AU14" s="91" t="s">
        <v>61</v>
      </c>
      <c r="AV14" s="83" t="s">
        <v>62</v>
      </c>
      <c r="AW14" s="83" t="s">
        <v>63</v>
      </c>
      <c r="AX14" s="92" t="s">
        <v>64</v>
      </c>
      <c r="AY14" s="92" t="s">
        <v>65</v>
      </c>
      <c r="AZ14" s="92" t="s">
        <v>66</v>
      </c>
      <c r="BA14" s="287"/>
      <c r="BB14" s="93" t="s">
        <v>68</v>
      </c>
      <c r="BC14" s="93" t="s">
        <v>69</v>
      </c>
      <c r="BD14" s="93" t="s">
        <v>70</v>
      </c>
    </row>
    <row r="15" spans="1:140" s="69" customFormat="1" ht="57.6" x14ac:dyDescent="0.2">
      <c r="A15" s="246"/>
      <c r="B15" s="246"/>
      <c r="C15" s="248"/>
      <c r="D15" s="249"/>
      <c r="E15" s="255"/>
      <c r="F15" s="256"/>
      <c r="G15" s="255"/>
      <c r="H15" s="255" t="s">
        <v>94</v>
      </c>
      <c r="I15" s="257" t="s">
        <v>95</v>
      </c>
      <c r="J15" s="258">
        <f>+[5]Pond!AF26</f>
        <v>37</v>
      </c>
      <c r="K15" s="83" t="s">
        <v>96</v>
      </c>
      <c r="L15" s="84">
        <v>50</v>
      </c>
      <c r="M15" s="83" t="s">
        <v>97</v>
      </c>
      <c r="N15" s="83" t="s">
        <v>57</v>
      </c>
      <c r="O15" s="83" t="s">
        <v>81</v>
      </c>
      <c r="P15" s="85">
        <v>100</v>
      </c>
      <c r="Q15" s="85">
        <v>100</v>
      </c>
      <c r="R15" s="85">
        <v>100</v>
      </c>
      <c r="S15" s="85">
        <v>100</v>
      </c>
      <c r="T15" s="85">
        <v>100</v>
      </c>
      <c r="U15" s="86" t="s">
        <v>98</v>
      </c>
      <c r="V15" s="87"/>
      <c r="W15" s="88" t="s">
        <v>99</v>
      </c>
      <c r="X15" s="89" t="s">
        <v>100</v>
      </c>
      <c r="Y15" s="90"/>
      <c r="Z15" s="90"/>
      <c r="AA15" s="310">
        <f>+'[5]Gastos por fuentes 2024'!D92</f>
        <v>236944000</v>
      </c>
      <c r="AB15" s="310"/>
      <c r="AC15" s="310"/>
      <c r="AD15" s="310">
        <f>SUM(AA15:AC15)</f>
        <v>236944000</v>
      </c>
      <c r="AE15" s="310">
        <f>+EVEN(AA15*3%+AA15)</f>
        <v>244052320</v>
      </c>
      <c r="AF15" s="310"/>
      <c r="AG15" s="310"/>
      <c r="AH15" s="310">
        <f>SUM(AE15:AG15)</f>
        <v>244052320</v>
      </c>
      <c r="AI15" s="283">
        <f>+EVEN(AE15*10%+AE15)</f>
        <v>268457552</v>
      </c>
      <c r="AJ15" s="310"/>
      <c r="AK15" s="310"/>
      <c r="AL15" s="310">
        <f>SUM(AI15:AK15)</f>
        <v>268457552</v>
      </c>
      <c r="AM15" s="311">
        <f>+EVEN(AI15*10%+AI15)</f>
        <v>295303308</v>
      </c>
      <c r="AN15" s="310"/>
      <c r="AO15" s="310"/>
      <c r="AP15" s="312">
        <f>SUM(AM15:AO15)</f>
        <v>295303308</v>
      </c>
      <c r="AQ15" s="310">
        <f t="shared" si="5"/>
        <v>1044757180</v>
      </c>
      <c r="AR15" s="310">
        <f t="shared" si="5"/>
        <v>0</v>
      </c>
      <c r="AS15" s="310">
        <f t="shared" si="5"/>
        <v>0</v>
      </c>
      <c r="AT15" s="310">
        <f t="shared" si="5"/>
        <v>1044757180</v>
      </c>
      <c r="AU15" s="95" t="s">
        <v>61</v>
      </c>
      <c r="AV15" s="83" t="s">
        <v>62</v>
      </c>
      <c r="AW15" s="83" t="s">
        <v>101</v>
      </c>
      <c r="AX15" s="92" t="s">
        <v>64</v>
      </c>
      <c r="AY15" s="92" t="s">
        <v>65</v>
      </c>
      <c r="AZ15" s="96" t="s">
        <v>66</v>
      </c>
      <c r="BA15" s="300"/>
      <c r="BB15" s="93" t="s">
        <v>68</v>
      </c>
      <c r="BC15" s="93" t="s">
        <v>69</v>
      </c>
      <c r="BD15" s="93" t="s">
        <v>70</v>
      </c>
    </row>
    <row r="16" spans="1:140" s="69" customFormat="1" ht="48" x14ac:dyDescent="0.2">
      <c r="A16" s="246"/>
      <c r="B16" s="246"/>
      <c r="C16" s="248"/>
      <c r="D16" s="249"/>
      <c r="E16" s="255"/>
      <c r="F16" s="256"/>
      <c r="G16" s="255"/>
      <c r="H16" s="255"/>
      <c r="I16" s="257"/>
      <c r="J16" s="258"/>
      <c r="K16" s="83" t="s">
        <v>102</v>
      </c>
      <c r="L16" s="84">
        <v>50</v>
      </c>
      <c r="M16" s="83" t="s">
        <v>103</v>
      </c>
      <c r="N16" s="83" t="s">
        <v>57</v>
      </c>
      <c r="O16" s="83" t="s">
        <v>104</v>
      </c>
      <c r="P16" s="85"/>
      <c r="Q16" s="85"/>
      <c r="R16" s="97">
        <v>1</v>
      </c>
      <c r="S16" s="85"/>
      <c r="T16" s="85">
        <v>1</v>
      </c>
      <c r="U16" s="86"/>
      <c r="V16" s="87"/>
      <c r="W16" s="90"/>
      <c r="X16" s="90"/>
      <c r="Y16" s="90"/>
      <c r="Z16" s="90"/>
      <c r="AA16" s="310"/>
      <c r="AB16" s="310"/>
      <c r="AC16" s="310"/>
      <c r="AD16" s="310"/>
      <c r="AE16" s="310"/>
      <c r="AF16" s="310"/>
      <c r="AG16" s="310"/>
      <c r="AH16" s="310"/>
      <c r="AI16" s="283"/>
      <c r="AJ16" s="310"/>
      <c r="AK16" s="310"/>
      <c r="AL16" s="310"/>
      <c r="AM16" s="311"/>
      <c r="AN16" s="310"/>
      <c r="AO16" s="310"/>
      <c r="AP16" s="312"/>
      <c r="AQ16" s="310"/>
      <c r="AR16" s="310"/>
      <c r="AS16" s="310"/>
      <c r="AT16" s="310"/>
      <c r="AU16" s="95" t="s">
        <v>61</v>
      </c>
      <c r="AV16" s="83" t="s">
        <v>105</v>
      </c>
      <c r="AW16" s="83" t="s">
        <v>106</v>
      </c>
      <c r="AX16" s="92" t="s">
        <v>64</v>
      </c>
      <c r="AY16" s="92" t="s">
        <v>65</v>
      </c>
      <c r="AZ16" s="96" t="s">
        <v>66</v>
      </c>
      <c r="BA16" s="300"/>
      <c r="BB16" s="93" t="s">
        <v>68</v>
      </c>
      <c r="BC16" s="93" t="s">
        <v>107</v>
      </c>
      <c r="BD16" s="93" t="s">
        <v>70</v>
      </c>
    </row>
    <row r="17" spans="1:56" s="69" customFormat="1" ht="48" x14ac:dyDescent="0.2">
      <c r="A17" s="246"/>
      <c r="B17" s="246"/>
      <c r="C17" s="248"/>
      <c r="D17" s="249"/>
      <c r="E17" s="255"/>
      <c r="F17" s="256"/>
      <c r="G17" s="255"/>
      <c r="H17" s="255"/>
      <c r="I17" s="98" t="s">
        <v>108</v>
      </c>
      <c r="J17" s="99">
        <f>+[5]Pond!AF27</f>
        <v>24</v>
      </c>
      <c r="K17" s="83" t="s">
        <v>109</v>
      </c>
      <c r="L17" s="84">
        <v>100</v>
      </c>
      <c r="M17" s="83" t="s">
        <v>110</v>
      </c>
      <c r="N17" s="83" t="s">
        <v>57</v>
      </c>
      <c r="O17" s="83" t="s">
        <v>81</v>
      </c>
      <c r="P17" s="85">
        <v>100</v>
      </c>
      <c r="Q17" s="85">
        <v>100</v>
      </c>
      <c r="R17" s="85">
        <v>100</v>
      </c>
      <c r="S17" s="85">
        <v>100</v>
      </c>
      <c r="T17" s="85">
        <v>100</v>
      </c>
      <c r="U17" s="86" t="s">
        <v>111</v>
      </c>
      <c r="V17" s="87"/>
      <c r="W17" s="90"/>
      <c r="X17" s="90"/>
      <c r="Y17" s="90"/>
      <c r="Z17" s="90"/>
      <c r="AA17" s="100">
        <f>+'[5]Gastos por fuentes 2024'!D93</f>
        <v>89556800</v>
      </c>
      <c r="AB17" s="100"/>
      <c r="AC17" s="100"/>
      <c r="AD17" s="100">
        <f>SUM(AA17:AC17)</f>
        <v>89556800</v>
      </c>
      <c r="AE17" s="101">
        <f>+EVEN(AA17*3%+AA17)</f>
        <v>92243504</v>
      </c>
      <c r="AF17" s="101"/>
      <c r="AG17" s="101"/>
      <c r="AH17" s="101">
        <f>SUM(AE17:AG17)</f>
        <v>92243504</v>
      </c>
      <c r="AI17" s="102">
        <f>+EVEN(AE17*10%+AE17)</f>
        <v>101467856</v>
      </c>
      <c r="AJ17" s="101"/>
      <c r="AK17" s="101"/>
      <c r="AL17" s="101">
        <f>SUM(AI17:AK17)</f>
        <v>101467856</v>
      </c>
      <c r="AM17" s="102">
        <f>+EVEN(AI17*10%+AI17)</f>
        <v>111614642</v>
      </c>
      <c r="AN17" s="101"/>
      <c r="AO17" s="101"/>
      <c r="AP17" s="103">
        <f>SUM(AM17:AO17)</f>
        <v>111614642</v>
      </c>
      <c r="AQ17" s="102">
        <f t="shared" ref="AQ17:AT19" si="7">+AA17+AE17+AI17+AM17</f>
        <v>394882802</v>
      </c>
      <c r="AR17" s="101">
        <f t="shared" si="7"/>
        <v>0</v>
      </c>
      <c r="AS17" s="101">
        <f t="shared" si="7"/>
        <v>0</v>
      </c>
      <c r="AT17" s="101">
        <f t="shared" si="7"/>
        <v>394882802</v>
      </c>
      <c r="AU17" s="91" t="s">
        <v>61</v>
      </c>
      <c r="AV17" s="83" t="s">
        <v>112</v>
      </c>
      <c r="AW17" s="83" t="s">
        <v>113</v>
      </c>
      <c r="AX17" s="92" t="s">
        <v>64</v>
      </c>
      <c r="AY17" s="92" t="s">
        <v>65</v>
      </c>
      <c r="AZ17" s="92" t="s">
        <v>66</v>
      </c>
      <c r="BA17" s="92"/>
      <c r="BB17" s="93" t="s">
        <v>68</v>
      </c>
      <c r="BC17" s="93" t="s">
        <v>107</v>
      </c>
      <c r="BD17" s="93" t="s">
        <v>70</v>
      </c>
    </row>
    <row r="18" spans="1:56" s="69" customFormat="1" ht="134.4" x14ac:dyDescent="0.2">
      <c r="A18" s="246"/>
      <c r="B18" s="246"/>
      <c r="C18" s="248"/>
      <c r="D18" s="249"/>
      <c r="E18" s="239" t="s">
        <v>114</v>
      </c>
      <c r="F18" s="256">
        <f>+[5]Pond!AF28</f>
        <v>34</v>
      </c>
      <c r="G18" s="239" t="s">
        <v>52</v>
      </c>
      <c r="H18" s="255" t="s">
        <v>115</v>
      </c>
      <c r="I18" s="257" t="s">
        <v>116</v>
      </c>
      <c r="J18" s="258">
        <f>+[5]Pond!AF29</f>
        <v>43</v>
      </c>
      <c r="K18" s="83" t="s">
        <v>117</v>
      </c>
      <c r="L18" s="84">
        <v>25</v>
      </c>
      <c r="M18" s="83" t="s">
        <v>118</v>
      </c>
      <c r="N18" s="83" t="s">
        <v>119</v>
      </c>
      <c r="O18" s="83" t="s">
        <v>81</v>
      </c>
      <c r="P18" s="85">
        <v>100</v>
      </c>
      <c r="Q18" s="85">
        <v>100</v>
      </c>
      <c r="R18" s="85">
        <v>100</v>
      </c>
      <c r="S18" s="85">
        <v>100</v>
      </c>
      <c r="T18" s="85">
        <v>100</v>
      </c>
      <c r="U18" s="86" t="s">
        <v>120</v>
      </c>
      <c r="V18" s="94" t="str">
        <f>+M18</f>
        <v xml:space="preserve">Porcentaje de áreas de ecosistemas en restauración, rehabilitación y recuperación (IMG Res.667/16) </v>
      </c>
      <c r="W18" s="88" t="s">
        <v>121</v>
      </c>
      <c r="X18" s="89" t="s">
        <v>122</v>
      </c>
      <c r="Y18" s="104" t="s">
        <v>123</v>
      </c>
      <c r="Z18" s="88" t="s">
        <v>124</v>
      </c>
      <c r="AA18" s="263">
        <f>1910544306</f>
        <v>1910544306</v>
      </c>
      <c r="AB18" s="263">
        <v>2308869358</v>
      </c>
      <c r="AC18" s="263">
        <f>2711180406.95+942965620.9</f>
        <v>3654146027.8499999</v>
      </c>
      <c r="AD18" s="263">
        <f>SUM(AA18:AC18)</f>
        <v>7873559691.8500004</v>
      </c>
      <c r="AE18" s="263">
        <f>+EVEN(AA18*3%+AA18)+28831803</f>
        <v>1996692439</v>
      </c>
      <c r="AF18" s="263">
        <f>2919600400+2520000000</f>
        <v>5439600400</v>
      </c>
      <c r="AG18" s="263"/>
      <c r="AH18" s="263">
        <f>SUM(AE18:AG18)</f>
        <v>7436292839</v>
      </c>
      <c r="AI18" s="289">
        <f>+EVEN(AE18*10%+AE18)+203549494</f>
        <v>2399911178</v>
      </c>
      <c r="AJ18" s="263">
        <f>(1044776424+2520000000)</f>
        <v>3564776424</v>
      </c>
      <c r="AK18" s="292">
        <v>2050000000</v>
      </c>
      <c r="AL18" s="263">
        <f>SUM(AI18:AK18)</f>
        <v>8014687602</v>
      </c>
      <c r="AM18" s="289">
        <f>+EVEN(AI18*10%+AI18)-97316854</f>
        <v>2542585442</v>
      </c>
      <c r="AN18" s="263">
        <f>2520000000+130463010</f>
        <v>2650463010</v>
      </c>
      <c r="AO18" s="263">
        <v>3150000000</v>
      </c>
      <c r="AP18" s="290">
        <f>SUM(AM18:AO18)</f>
        <v>8343048452</v>
      </c>
      <c r="AQ18" s="289">
        <f t="shared" si="7"/>
        <v>8849733365</v>
      </c>
      <c r="AR18" s="263">
        <f t="shared" si="7"/>
        <v>13963709192</v>
      </c>
      <c r="AS18" s="263">
        <f t="shared" si="7"/>
        <v>8854146027.8500004</v>
      </c>
      <c r="AT18" s="263">
        <f t="shared" si="7"/>
        <v>31667588584.849998</v>
      </c>
      <c r="AU18" s="91" t="s">
        <v>61</v>
      </c>
      <c r="AV18" s="83" t="s">
        <v>125</v>
      </c>
      <c r="AW18" s="83" t="s">
        <v>126</v>
      </c>
      <c r="AX18" s="92" t="s">
        <v>64</v>
      </c>
      <c r="AY18" s="92" t="s">
        <v>127</v>
      </c>
      <c r="AZ18" s="92" t="s">
        <v>128</v>
      </c>
      <c r="BA18" s="287" t="s">
        <v>129</v>
      </c>
      <c r="BB18" s="93" t="s">
        <v>130</v>
      </c>
      <c r="BC18" s="93" t="s">
        <v>131</v>
      </c>
      <c r="BD18" s="93" t="s">
        <v>132</v>
      </c>
    </row>
    <row r="19" spans="1:56" s="69" customFormat="1" ht="38.4" x14ac:dyDescent="0.2">
      <c r="A19" s="246"/>
      <c r="B19" s="246"/>
      <c r="C19" s="248"/>
      <c r="D19" s="249"/>
      <c r="E19" s="239"/>
      <c r="F19" s="256"/>
      <c r="G19" s="239"/>
      <c r="H19" s="255"/>
      <c r="I19" s="257"/>
      <c r="J19" s="258"/>
      <c r="K19" s="83" t="s">
        <v>133</v>
      </c>
      <c r="L19" s="84">
        <v>25</v>
      </c>
      <c r="M19" s="83" t="s">
        <v>134</v>
      </c>
      <c r="N19" s="83" t="s">
        <v>57</v>
      </c>
      <c r="O19" s="83" t="s">
        <v>58</v>
      </c>
      <c r="P19" s="97">
        <v>3</v>
      </c>
      <c r="Q19" s="97">
        <v>4</v>
      </c>
      <c r="R19" s="97">
        <v>4</v>
      </c>
      <c r="S19" s="85">
        <v>4</v>
      </c>
      <c r="T19" s="85">
        <v>4</v>
      </c>
      <c r="U19" s="86" t="s">
        <v>135</v>
      </c>
      <c r="V19" s="87"/>
      <c r="W19" s="90"/>
      <c r="X19" s="90"/>
      <c r="Y19" s="90"/>
      <c r="Z19" s="90"/>
      <c r="AA19" s="263"/>
      <c r="AB19" s="263"/>
      <c r="AC19" s="263"/>
      <c r="AD19" s="263"/>
      <c r="AE19" s="263"/>
      <c r="AF19" s="263"/>
      <c r="AG19" s="263"/>
      <c r="AH19" s="263"/>
      <c r="AI19" s="289">
        <f t="shared" ref="AI19:AI31" si="8">+EVEN(AE19*6%+AE19)</f>
        <v>0</v>
      </c>
      <c r="AJ19" s="263"/>
      <c r="AK19" s="292"/>
      <c r="AL19" s="263"/>
      <c r="AM19" s="289">
        <f>+EVEN(AI19*6%+AI19)</f>
        <v>0</v>
      </c>
      <c r="AN19" s="263"/>
      <c r="AO19" s="263"/>
      <c r="AP19" s="290"/>
      <c r="AQ19" s="289">
        <f t="shared" si="7"/>
        <v>0</v>
      </c>
      <c r="AR19" s="263">
        <f t="shared" si="7"/>
        <v>0</v>
      </c>
      <c r="AS19" s="263">
        <f t="shared" si="7"/>
        <v>0</v>
      </c>
      <c r="AT19" s="263">
        <f t="shared" si="7"/>
        <v>0</v>
      </c>
      <c r="AU19" s="91" t="s">
        <v>61</v>
      </c>
      <c r="AV19" s="83" t="s">
        <v>136</v>
      </c>
      <c r="AW19" s="83" t="s">
        <v>137</v>
      </c>
      <c r="AX19" s="92" t="s">
        <v>64</v>
      </c>
      <c r="AY19" s="92" t="s">
        <v>65</v>
      </c>
      <c r="AZ19" s="92" t="s">
        <v>66</v>
      </c>
      <c r="BA19" s="287"/>
      <c r="BB19" s="93" t="s">
        <v>130</v>
      </c>
      <c r="BC19" s="93" t="s">
        <v>131</v>
      </c>
      <c r="BD19" s="93" t="s">
        <v>132</v>
      </c>
    </row>
    <row r="20" spans="1:56" s="69" customFormat="1" ht="38.4" x14ac:dyDescent="0.2">
      <c r="A20" s="246"/>
      <c r="B20" s="246"/>
      <c r="C20" s="248"/>
      <c r="D20" s="249"/>
      <c r="E20" s="239"/>
      <c r="F20" s="256"/>
      <c r="G20" s="239"/>
      <c r="H20" s="255"/>
      <c r="I20" s="257"/>
      <c r="J20" s="258"/>
      <c r="K20" s="83" t="s">
        <v>138</v>
      </c>
      <c r="L20" s="84">
        <v>25</v>
      </c>
      <c r="M20" s="83" t="s">
        <v>139</v>
      </c>
      <c r="N20" s="83" t="s">
        <v>57</v>
      </c>
      <c r="O20" s="83" t="s">
        <v>104</v>
      </c>
      <c r="P20" s="97">
        <v>1</v>
      </c>
      <c r="Q20" s="97">
        <v>1</v>
      </c>
      <c r="R20" s="97">
        <v>1</v>
      </c>
      <c r="S20" s="85">
        <v>1</v>
      </c>
      <c r="T20" s="85">
        <f>SUM(P20:S20)</f>
        <v>4</v>
      </c>
      <c r="U20" s="86" t="s">
        <v>140</v>
      </c>
      <c r="V20" s="87"/>
      <c r="W20" s="90"/>
      <c r="X20" s="90"/>
      <c r="Y20" s="90"/>
      <c r="Z20" s="90"/>
      <c r="AA20" s="263"/>
      <c r="AB20" s="263"/>
      <c r="AC20" s="263"/>
      <c r="AD20" s="263"/>
      <c r="AE20" s="263"/>
      <c r="AF20" s="263"/>
      <c r="AG20" s="263"/>
      <c r="AH20" s="263"/>
      <c r="AI20" s="289"/>
      <c r="AJ20" s="263"/>
      <c r="AK20" s="292"/>
      <c r="AL20" s="263"/>
      <c r="AM20" s="289"/>
      <c r="AN20" s="263"/>
      <c r="AO20" s="263"/>
      <c r="AP20" s="290"/>
      <c r="AQ20" s="289"/>
      <c r="AR20" s="263"/>
      <c r="AS20" s="263"/>
      <c r="AT20" s="263"/>
      <c r="AU20" s="91" t="s">
        <v>61</v>
      </c>
      <c r="AV20" s="83" t="s">
        <v>136</v>
      </c>
      <c r="AW20" s="83" t="s">
        <v>137</v>
      </c>
      <c r="AX20" s="92" t="s">
        <v>64</v>
      </c>
      <c r="AY20" s="92" t="s">
        <v>65</v>
      </c>
      <c r="AZ20" s="92" t="s">
        <v>66</v>
      </c>
      <c r="BA20" s="287"/>
      <c r="BB20" s="93" t="s">
        <v>130</v>
      </c>
      <c r="BC20" s="93" t="s">
        <v>131</v>
      </c>
      <c r="BD20" s="93" t="s">
        <v>132</v>
      </c>
    </row>
    <row r="21" spans="1:56" s="69" customFormat="1" ht="38.4" x14ac:dyDescent="0.2">
      <c r="A21" s="246"/>
      <c r="B21" s="246"/>
      <c r="C21" s="248"/>
      <c r="D21" s="249"/>
      <c r="E21" s="239"/>
      <c r="F21" s="256"/>
      <c r="G21" s="239"/>
      <c r="H21" s="255"/>
      <c r="I21" s="257"/>
      <c r="J21" s="258"/>
      <c r="K21" s="83" t="s">
        <v>141</v>
      </c>
      <c r="L21" s="84">
        <v>25</v>
      </c>
      <c r="M21" s="83" t="s">
        <v>142</v>
      </c>
      <c r="N21" s="83" t="s">
        <v>143</v>
      </c>
      <c r="O21" s="83" t="s">
        <v>81</v>
      </c>
      <c r="P21" s="85">
        <v>100</v>
      </c>
      <c r="Q21" s="85">
        <v>100</v>
      </c>
      <c r="R21" s="85">
        <v>100</v>
      </c>
      <c r="S21" s="85">
        <v>100</v>
      </c>
      <c r="T21" s="85">
        <v>100</v>
      </c>
      <c r="U21" s="86" t="s">
        <v>144</v>
      </c>
      <c r="V21" s="94" t="str">
        <f>+M21</f>
        <v>Porcentaje de Planes de Ordenación y   Manejo de Cuencas  (POMCAS) en ejecución (IMG Res. 667/16)</v>
      </c>
      <c r="W21" s="88" t="s">
        <v>145</v>
      </c>
      <c r="X21" s="89" t="s">
        <v>146</v>
      </c>
      <c r="Y21" s="104" t="s">
        <v>147</v>
      </c>
      <c r="Z21" s="88" t="s">
        <v>148</v>
      </c>
      <c r="AA21" s="263"/>
      <c r="AB21" s="263"/>
      <c r="AC21" s="263"/>
      <c r="AD21" s="263"/>
      <c r="AE21" s="263"/>
      <c r="AF21" s="263"/>
      <c r="AG21" s="263"/>
      <c r="AH21" s="263"/>
      <c r="AI21" s="289">
        <f t="shared" si="8"/>
        <v>0</v>
      </c>
      <c r="AJ21" s="263"/>
      <c r="AK21" s="292"/>
      <c r="AL21" s="263"/>
      <c r="AM21" s="289">
        <f>+EVEN(AI21*6%+AI21)</f>
        <v>0</v>
      </c>
      <c r="AN21" s="263"/>
      <c r="AO21" s="263"/>
      <c r="AP21" s="290"/>
      <c r="AQ21" s="289">
        <f t="shared" ref="AQ21:AT37" si="9">+AA21+AE21+AI21+AM21</f>
        <v>0</v>
      </c>
      <c r="AR21" s="263">
        <f t="shared" si="9"/>
        <v>0</v>
      </c>
      <c r="AS21" s="263">
        <f t="shared" si="9"/>
        <v>0</v>
      </c>
      <c r="AT21" s="263">
        <f t="shared" si="9"/>
        <v>0</v>
      </c>
      <c r="AU21" s="91" t="s">
        <v>61</v>
      </c>
      <c r="AV21" s="83" t="s">
        <v>149</v>
      </c>
      <c r="AW21" s="83" t="s">
        <v>150</v>
      </c>
      <c r="AX21" s="92" t="s">
        <v>151</v>
      </c>
      <c r="AY21" s="92" t="s">
        <v>65</v>
      </c>
      <c r="AZ21" s="92" t="s">
        <v>66</v>
      </c>
      <c r="BA21" s="287"/>
      <c r="BB21" s="93" t="s">
        <v>68</v>
      </c>
      <c r="BC21" s="93" t="s">
        <v>152</v>
      </c>
      <c r="BD21" s="93" t="s">
        <v>70</v>
      </c>
    </row>
    <row r="22" spans="1:56" s="69" customFormat="1" ht="67.2" x14ac:dyDescent="0.2">
      <c r="A22" s="246"/>
      <c r="B22" s="246"/>
      <c r="C22" s="248"/>
      <c r="D22" s="249"/>
      <c r="E22" s="239"/>
      <c r="F22" s="256"/>
      <c r="G22" s="239"/>
      <c r="H22" s="255"/>
      <c r="I22" s="98" t="s">
        <v>153</v>
      </c>
      <c r="J22" s="99">
        <f>+[5]Pond!AF30</f>
        <v>15</v>
      </c>
      <c r="K22" s="83" t="s">
        <v>154</v>
      </c>
      <c r="L22" s="84">
        <v>100</v>
      </c>
      <c r="M22" s="83" t="s">
        <v>155</v>
      </c>
      <c r="N22" s="83" t="s">
        <v>57</v>
      </c>
      <c r="O22" s="83" t="s">
        <v>81</v>
      </c>
      <c r="P22" s="85">
        <v>100</v>
      </c>
      <c r="Q22" s="85">
        <v>100</v>
      </c>
      <c r="R22" s="85">
        <v>100</v>
      </c>
      <c r="S22" s="85">
        <v>100</v>
      </c>
      <c r="T22" s="85">
        <v>100</v>
      </c>
      <c r="U22" s="86" t="s">
        <v>156</v>
      </c>
      <c r="V22" s="87"/>
      <c r="W22" s="88" t="s">
        <v>157</v>
      </c>
      <c r="X22" s="89" t="s">
        <v>158</v>
      </c>
      <c r="Y22" s="90"/>
      <c r="Z22" s="90"/>
      <c r="AA22" s="91">
        <v>40160867</v>
      </c>
      <c r="AB22" s="91">
        <v>2868840000</v>
      </c>
      <c r="AC22" s="91"/>
      <c r="AD22" s="91">
        <f>SUM(AA22:AC22)</f>
        <v>2909000867</v>
      </c>
      <c r="AE22" s="91">
        <f>+EVEN(AA22*3%+AA22)</f>
        <v>41365694</v>
      </c>
      <c r="AF22" s="91"/>
      <c r="AG22" s="91"/>
      <c r="AH22" s="91">
        <f t="shared" ref="AH22:AH30" si="10">SUM(AE22:AG22)</f>
        <v>41365694</v>
      </c>
      <c r="AI22" s="105">
        <f>+EVEN(AE22*10%+AE22)</f>
        <v>45502264</v>
      </c>
      <c r="AJ22" s="91"/>
      <c r="AK22" s="91"/>
      <c r="AL22" s="91">
        <f t="shared" ref="AL22:AL30" si="11">SUM(AI22:AK22)</f>
        <v>45502264</v>
      </c>
      <c r="AM22" s="105">
        <f>+EVEN(AI22*10%+AI22)</f>
        <v>50052492</v>
      </c>
      <c r="AN22" s="91"/>
      <c r="AO22" s="91"/>
      <c r="AP22" s="106">
        <f t="shared" ref="AP22:AP30" si="12">SUM(AM22:AO22)</f>
        <v>50052492</v>
      </c>
      <c r="AQ22" s="105">
        <f t="shared" si="9"/>
        <v>177081317</v>
      </c>
      <c r="AR22" s="91">
        <f t="shared" si="9"/>
        <v>2868840000</v>
      </c>
      <c r="AS22" s="91">
        <f t="shared" si="9"/>
        <v>0</v>
      </c>
      <c r="AT22" s="91">
        <f t="shared" si="9"/>
        <v>3045921317</v>
      </c>
      <c r="AU22" s="91" t="s">
        <v>61</v>
      </c>
      <c r="AV22" s="83" t="s">
        <v>125</v>
      </c>
      <c r="AW22" s="83" t="s">
        <v>159</v>
      </c>
      <c r="AX22" s="92" t="s">
        <v>64</v>
      </c>
      <c r="AY22" s="92" t="s">
        <v>65</v>
      </c>
      <c r="AZ22" s="92" t="s">
        <v>66</v>
      </c>
      <c r="BA22" s="92"/>
      <c r="BB22" s="93" t="s">
        <v>130</v>
      </c>
      <c r="BC22" s="93" t="s">
        <v>131</v>
      </c>
      <c r="BD22" s="93" t="s">
        <v>132</v>
      </c>
    </row>
    <row r="23" spans="1:56" s="69" customFormat="1" ht="38.4" x14ac:dyDescent="0.2">
      <c r="A23" s="246"/>
      <c r="B23" s="246"/>
      <c r="C23" s="248"/>
      <c r="D23" s="249"/>
      <c r="E23" s="239"/>
      <c r="F23" s="256"/>
      <c r="G23" s="239"/>
      <c r="H23" s="255"/>
      <c r="I23" s="98" t="s">
        <v>160</v>
      </c>
      <c r="J23" s="99">
        <f>+[5]Pond!AF31</f>
        <v>9</v>
      </c>
      <c r="K23" s="83" t="s">
        <v>161</v>
      </c>
      <c r="L23" s="84">
        <v>100</v>
      </c>
      <c r="M23" s="83" t="s">
        <v>162</v>
      </c>
      <c r="N23" s="83" t="s">
        <v>163</v>
      </c>
      <c r="O23" s="83" t="s">
        <v>81</v>
      </c>
      <c r="P23" s="85">
        <v>100</v>
      </c>
      <c r="Q23" s="85">
        <v>100</v>
      </c>
      <c r="R23" s="85">
        <v>100</v>
      </c>
      <c r="S23" s="85">
        <v>100</v>
      </c>
      <c r="T23" s="85">
        <v>100</v>
      </c>
      <c r="U23" s="86" t="s">
        <v>164</v>
      </c>
      <c r="V23" s="94" t="str">
        <f>+M23</f>
        <v>Porcentaje de suelos degradados en recuperación o rehabilitación (IMG Res. 667/16)</v>
      </c>
      <c r="W23" s="88" t="s">
        <v>165</v>
      </c>
      <c r="X23" s="89" t="s">
        <v>166</v>
      </c>
      <c r="Y23" s="90"/>
      <c r="Z23" s="90"/>
      <c r="AA23" s="91">
        <v>50201084</v>
      </c>
      <c r="AB23" s="91"/>
      <c r="AC23" s="91"/>
      <c r="AD23" s="91">
        <f>SUM(AA23:AC23)</f>
        <v>50201084</v>
      </c>
      <c r="AE23" s="91">
        <f>+EVEN(AA23*3%+AA23)</f>
        <v>51707118</v>
      </c>
      <c r="AF23" s="91"/>
      <c r="AG23" s="91"/>
      <c r="AH23" s="91">
        <f t="shared" si="10"/>
        <v>51707118</v>
      </c>
      <c r="AI23" s="105">
        <f>+EVEN(AE23*10%+AE23)</f>
        <v>56877830</v>
      </c>
      <c r="AJ23" s="91"/>
      <c r="AK23" s="91"/>
      <c r="AL23" s="91">
        <f t="shared" si="11"/>
        <v>56877830</v>
      </c>
      <c r="AM23" s="105">
        <f>+EVEN(AI23*10%+AI23)</f>
        <v>62565614</v>
      </c>
      <c r="AN23" s="91"/>
      <c r="AO23" s="91"/>
      <c r="AP23" s="106">
        <f t="shared" si="12"/>
        <v>62565614</v>
      </c>
      <c r="AQ23" s="105">
        <f t="shared" si="9"/>
        <v>221351646</v>
      </c>
      <c r="AR23" s="91">
        <f t="shared" si="9"/>
        <v>0</v>
      </c>
      <c r="AS23" s="91">
        <f t="shared" si="9"/>
        <v>0</v>
      </c>
      <c r="AT23" s="91">
        <f t="shared" si="9"/>
        <v>221351646</v>
      </c>
      <c r="AU23" s="91" t="s">
        <v>61</v>
      </c>
      <c r="AV23" s="83" t="s">
        <v>125</v>
      </c>
      <c r="AW23" s="83" t="s">
        <v>126</v>
      </c>
      <c r="AX23" s="92" t="s">
        <v>64</v>
      </c>
      <c r="AY23" s="92" t="s">
        <v>65</v>
      </c>
      <c r="AZ23" s="92" t="s">
        <v>66</v>
      </c>
      <c r="BA23" s="92"/>
      <c r="BB23" s="93" t="s">
        <v>130</v>
      </c>
      <c r="BC23" s="93" t="s">
        <v>131</v>
      </c>
      <c r="BD23" s="93" t="s">
        <v>132</v>
      </c>
    </row>
    <row r="24" spans="1:56" s="69" customFormat="1" ht="96" x14ac:dyDescent="0.2">
      <c r="A24" s="246"/>
      <c r="B24" s="246"/>
      <c r="C24" s="248"/>
      <c r="D24" s="249"/>
      <c r="E24" s="239"/>
      <c r="F24" s="256"/>
      <c r="G24" s="239"/>
      <c r="H24" s="255"/>
      <c r="I24" s="98" t="s">
        <v>167</v>
      </c>
      <c r="J24" s="99">
        <f>+[5]Pond!AF32</f>
        <v>13</v>
      </c>
      <c r="K24" s="83" t="s">
        <v>168</v>
      </c>
      <c r="L24" s="84">
        <v>100</v>
      </c>
      <c r="M24" s="83" t="s">
        <v>169</v>
      </c>
      <c r="N24" s="83" t="s">
        <v>57</v>
      </c>
      <c r="O24" s="83" t="s">
        <v>170</v>
      </c>
      <c r="P24" s="85">
        <v>2400</v>
      </c>
      <c r="Q24" s="85">
        <v>2400</v>
      </c>
      <c r="R24" s="85">
        <v>2400</v>
      </c>
      <c r="S24" s="85">
        <v>2400</v>
      </c>
      <c r="T24" s="85">
        <f>SUM(P24:S24)</f>
        <v>9600</v>
      </c>
      <c r="U24" s="86" t="s">
        <v>171</v>
      </c>
      <c r="V24" s="87"/>
      <c r="W24" s="88" t="s">
        <v>172</v>
      </c>
      <c r="X24" s="89" t="s">
        <v>173</v>
      </c>
      <c r="Y24" s="90"/>
      <c r="Z24" s="90"/>
      <c r="AA24" s="91">
        <v>789837243</v>
      </c>
      <c r="AB24" s="91"/>
      <c r="AC24" s="91"/>
      <c r="AD24" s="91">
        <f>SUM(AA24:AC24)</f>
        <v>789837243</v>
      </c>
      <c r="AE24" s="91">
        <f>+EVEN(AA24*3%+AA24)</f>
        <v>813532362</v>
      </c>
      <c r="AF24" s="91"/>
      <c r="AG24" s="91"/>
      <c r="AH24" s="91">
        <f t="shared" si="10"/>
        <v>813532362</v>
      </c>
      <c r="AI24" s="105">
        <f>+EVEN(AE24*10%+AE24)+200000000</f>
        <v>1094885600</v>
      </c>
      <c r="AJ24" s="91"/>
      <c r="AK24" s="91"/>
      <c r="AL24" s="91">
        <f t="shared" si="11"/>
        <v>1094885600</v>
      </c>
      <c r="AM24" s="105">
        <f>+EVEN(AI24*10%+AI24)-100000000</f>
        <v>1104374160</v>
      </c>
      <c r="AN24" s="91"/>
      <c r="AO24" s="91"/>
      <c r="AP24" s="106">
        <f t="shared" si="12"/>
        <v>1104374160</v>
      </c>
      <c r="AQ24" s="105">
        <f t="shared" si="9"/>
        <v>3802629365</v>
      </c>
      <c r="AR24" s="91">
        <f t="shared" si="9"/>
        <v>0</v>
      </c>
      <c r="AS24" s="91">
        <f t="shared" si="9"/>
        <v>0</v>
      </c>
      <c r="AT24" s="91">
        <f t="shared" si="9"/>
        <v>3802629365</v>
      </c>
      <c r="AU24" s="91" t="s">
        <v>61</v>
      </c>
      <c r="AV24" s="83" t="s">
        <v>125</v>
      </c>
      <c r="AW24" s="83" t="s">
        <v>174</v>
      </c>
      <c r="AX24" s="92" t="s">
        <v>64</v>
      </c>
      <c r="AY24" s="92" t="s">
        <v>65</v>
      </c>
      <c r="AZ24" s="92" t="s">
        <v>66</v>
      </c>
      <c r="BA24" s="92" t="s">
        <v>175</v>
      </c>
      <c r="BB24" s="93" t="s">
        <v>130</v>
      </c>
      <c r="BC24" s="93" t="s">
        <v>131</v>
      </c>
      <c r="BD24" s="93" t="s">
        <v>176</v>
      </c>
    </row>
    <row r="25" spans="1:56" s="69" customFormat="1" ht="80.400000000000006" x14ac:dyDescent="0.2">
      <c r="A25" s="246"/>
      <c r="B25" s="246"/>
      <c r="C25" s="248"/>
      <c r="D25" s="249"/>
      <c r="E25" s="239"/>
      <c r="F25" s="256"/>
      <c r="G25" s="239"/>
      <c r="H25" s="107" t="s">
        <v>177</v>
      </c>
      <c r="I25" s="86" t="s">
        <v>178</v>
      </c>
      <c r="J25" s="85">
        <f>+[5]Pond!AF33</f>
        <v>11</v>
      </c>
      <c r="K25" s="94" t="s">
        <v>179</v>
      </c>
      <c r="L25" s="108">
        <v>100</v>
      </c>
      <c r="M25" s="94" t="s">
        <v>180</v>
      </c>
      <c r="N25" s="94" t="s">
        <v>181</v>
      </c>
      <c r="O25" s="94" t="s">
        <v>73</v>
      </c>
      <c r="P25" s="85" t="s">
        <v>182</v>
      </c>
      <c r="Q25" s="85" t="s">
        <v>182</v>
      </c>
      <c r="R25" s="85" t="s">
        <v>183</v>
      </c>
      <c r="S25" s="85" t="s">
        <v>182</v>
      </c>
      <c r="T25" s="85">
        <f>+P25+R25+S25+Q25</f>
        <v>100</v>
      </c>
      <c r="U25" s="86" t="s">
        <v>184</v>
      </c>
      <c r="V25" s="94" t="str">
        <f>+M25</f>
        <v xml:space="preserve">Porcentaje de avance en la formulación del Plan de Ordenación Forestal (IMG Res.667/16) </v>
      </c>
      <c r="W25" s="88" t="s">
        <v>185</v>
      </c>
      <c r="X25" s="89" t="s">
        <v>186</v>
      </c>
      <c r="Y25" s="90"/>
      <c r="Z25" s="90"/>
      <c r="AA25" s="91">
        <f>+'[5]Gastos por fuentes 2024'!D98</f>
        <v>50200000</v>
      </c>
      <c r="AB25" s="91"/>
      <c r="AC25" s="91"/>
      <c r="AD25" s="91">
        <f t="shared" ref="AD25:AD30" si="13">SUM(AA25:AC25)</f>
        <v>50200000</v>
      </c>
      <c r="AE25" s="91">
        <f>+EVEN(AA25*3%+AA25)</f>
        <v>51706000</v>
      </c>
      <c r="AF25" s="91"/>
      <c r="AG25" s="91"/>
      <c r="AH25" s="91">
        <f t="shared" si="10"/>
        <v>51706000</v>
      </c>
      <c r="AI25" s="105">
        <f>+EVEN(AE25*10%+AE25)+100000000</f>
        <v>156876600</v>
      </c>
      <c r="AJ25" s="109">
        <v>1100000000</v>
      </c>
      <c r="AK25" s="91"/>
      <c r="AL25" s="91">
        <f t="shared" si="11"/>
        <v>1256876600</v>
      </c>
      <c r="AM25" s="105">
        <f>+EVEN(AI25*10%+AI25)</f>
        <v>172564260</v>
      </c>
      <c r="AN25" s="91"/>
      <c r="AO25" s="91"/>
      <c r="AP25" s="106">
        <f t="shared" si="12"/>
        <v>172564260</v>
      </c>
      <c r="AQ25" s="105">
        <f t="shared" si="9"/>
        <v>431346860</v>
      </c>
      <c r="AR25" s="91">
        <f t="shared" si="9"/>
        <v>1100000000</v>
      </c>
      <c r="AS25" s="91">
        <f t="shared" si="9"/>
        <v>0</v>
      </c>
      <c r="AT25" s="91">
        <f t="shared" si="9"/>
        <v>1531346860</v>
      </c>
      <c r="AU25" s="91" t="s">
        <v>61</v>
      </c>
      <c r="AV25" s="94" t="s">
        <v>187</v>
      </c>
      <c r="AW25" s="94" t="s">
        <v>188</v>
      </c>
      <c r="AX25" s="92" t="s">
        <v>64</v>
      </c>
      <c r="AY25" s="92" t="s">
        <v>65</v>
      </c>
      <c r="AZ25" s="92" t="s">
        <v>66</v>
      </c>
      <c r="BA25" s="92"/>
      <c r="BB25" s="93" t="s">
        <v>68</v>
      </c>
      <c r="BC25" s="93" t="s">
        <v>152</v>
      </c>
      <c r="BD25" s="93" t="s">
        <v>70</v>
      </c>
    </row>
    <row r="26" spans="1:56" s="69" customFormat="1" ht="76.2" x14ac:dyDescent="0.2">
      <c r="A26" s="246"/>
      <c r="B26" s="246"/>
      <c r="C26" s="248"/>
      <c r="D26" s="249"/>
      <c r="E26" s="239"/>
      <c r="F26" s="256"/>
      <c r="G26" s="239"/>
      <c r="H26" s="110" t="s">
        <v>189</v>
      </c>
      <c r="I26" s="98" t="s">
        <v>190</v>
      </c>
      <c r="J26" s="99">
        <f>+[5]Pond!AF34</f>
        <v>9</v>
      </c>
      <c r="K26" s="83" t="s">
        <v>191</v>
      </c>
      <c r="L26" s="84">
        <v>100</v>
      </c>
      <c r="M26" s="83" t="s">
        <v>192</v>
      </c>
      <c r="N26" s="83" t="s">
        <v>57</v>
      </c>
      <c r="O26" s="83" t="s">
        <v>73</v>
      </c>
      <c r="P26" s="85">
        <v>100</v>
      </c>
      <c r="Q26" s="85">
        <v>100</v>
      </c>
      <c r="R26" s="85">
        <v>100</v>
      </c>
      <c r="S26" s="85">
        <v>100</v>
      </c>
      <c r="T26" s="85">
        <v>100</v>
      </c>
      <c r="U26" s="86" t="s">
        <v>193</v>
      </c>
      <c r="V26" s="87"/>
      <c r="W26" s="88" t="s">
        <v>194</v>
      </c>
      <c r="X26" s="89" t="s">
        <v>195</v>
      </c>
      <c r="Y26" s="90"/>
      <c r="Z26" s="90"/>
      <c r="AA26" s="111">
        <f>+'[5]Gastos por fuentes 2024'!D99</f>
        <v>10040000</v>
      </c>
      <c r="AB26" s="111"/>
      <c r="AC26" s="111"/>
      <c r="AD26" s="111">
        <f t="shared" si="13"/>
        <v>10040000</v>
      </c>
      <c r="AE26" s="111">
        <f>+EVEN(AA26*3%+AA26)</f>
        <v>10341200</v>
      </c>
      <c r="AF26" s="111"/>
      <c r="AG26" s="111"/>
      <c r="AH26" s="111">
        <f t="shared" si="10"/>
        <v>10341200</v>
      </c>
      <c r="AI26" s="112">
        <f>+EVEN(AE26*10%+AE26)</f>
        <v>11375320</v>
      </c>
      <c r="AJ26" s="111"/>
      <c r="AK26" s="111"/>
      <c r="AL26" s="111">
        <f t="shared" si="11"/>
        <v>11375320</v>
      </c>
      <c r="AM26" s="112">
        <f>+EVEN(AI26*10%+AI26)</f>
        <v>12512852</v>
      </c>
      <c r="AN26" s="111"/>
      <c r="AO26" s="111"/>
      <c r="AP26" s="113">
        <f t="shared" si="12"/>
        <v>12512852</v>
      </c>
      <c r="AQ26" s="105">
        <f t="shared" si="9"/>
        <v>44269372</v>
      </c>
      <c r="AR26" s="111">
        <f t="shared" si="9"/>
        <v>0</v>
      </c>
      <c r="AS26" s="111">
        <f t="shared" si="9"/>
        <v>0</v>
      </c>
      <c r="AT26" s="111">
        <f t="shared" si="9"/>
        <v>44269372</v>
      </c>
      <c r="AU26" s="91" t="s">
        <v>61</v>
      </c>
      <c r="AV26" s="83" t="s">
        <v>196</v>
      </c>
      <c r="AW26" s="83" t="s">
        <v>197</v>
      </c>
      <c r="AX26" s="92" t="s">
        <v>64</v>
      </c>
      <c r="AY26" s="92" t="s">
        <v>65</v>
      </c>
      <c r="AZ26" s="92" t="s">
        <v>66</v>
      </c>
      <c r="BA26" s="92"/>
      <c r="BB26" s="93" t="s">
        <v>130</v>
      </c>
      <c r="BC26" s="93" t="s">
        <v>131</v>
      </c>
      <c r="BD26" s="93" t="s">
        <v>176</v>
      </c>
    </row>
    <row r="27" spans="1:56" s="69" customFormat="1" ht="109.8" x14ac:dyDescent="0.2">
      <c r="A27" s="246"/>
      <c r="B27" s="246"/>
      <c r="C27" s="248"/>
      <c r="D27" s="249"/>
      <c r="E27" s="110" t="s">
        <v>198</v>
      </c>
      <c r="F27" s="114">
        <f>+[5]Pond!AF35</f>
        <v>11</v>
      </c>
      <c r="G27" s="110" t="s">
        <v>52</v>
      </c>
      <c r="H27" s="110" t="s">
        <v>199</v>
      </c>
      <c r="I27" s="98" t="s">
        <v>200</v>
      </c>
      <c r="J27" s="99">
        <f>+[5]Pond!AF36</f>
        <v>100</v>
      </c>
      <c r="K27" s="83" t="s">
        <v>201</v>
      </c>
      <c r="L27" s="84">
        <v>100</v>
      </c>
      <c r="M27" s="83" t="s">
        <v>202</v>
      </c>
      <c r="N27" s="83" t="s">
        <v>119</v>
      </c>
      <c r="O27" s="83" t="s">
        <v>81</v>
      </c>
      <c r="P27" s="85">
        <v>100</v>
      </c>
      <c r="Q27" s="85">
        <v>100</v>
      </c>
      <c r="R27" s="85">
        <v>100</v>
      </c>
      <c r="S27" s="85">
        <v>100</v>
      </c>
      <c r="T27" s="85">
        <v>100</v>
      </c>
      <c r="U27" s="86" t="s">
        <v>203</v>
      </c>
      <c r="V27" s="86" t="str">
        <f>+M27</f>
        <v>Porcentaje de áreas de ecosistemas en restauración, rehabilitación y recuperación (IMG Res.667/16)</v>
      </c>
      <c r="W27" s="88" t="s">
        <v>121</v>
      </c>
      <c r="X27" s="89" t="s">
        <v>122</v>
      </c>
      <c r="Y27" s="90"/>
      <c r="Z27" s="90"/>
      <c r="AA27" s="101">
        <f>+'[5]Gastos por fuentes 2024'!D101</f>
        <v>654400000</v>
      </c>
      <c r="AB27" s="101"/>
      <c r="AC27" s="101"/>
      <c r="AD27" s="101">
        <f t="shared" si="13"/>
        <v>654400000</v>
      </c>
      <c r="AE27" s="101">
        <f>+'[5]TUA 2024'!K16</f>
        <v>684933920</v>
      </c>
      <c r="AF27" s="101"/>
      <c r="AG27" s="101"/>
      <c r="AH27" s="101">
        <f t="shared" si="10"/>
        <v>684933920</v>
      </c>
      <c r="AI27" s="102">
        <f>ROUND(+'[5]TUA 2024'!P16,0)</f>
        <v>767125988</v>
      </c>
      <c r="AJ27" s="101"/>
      <c r="AK27" s="101"/>
      <c r="AL27" s="101">
        <f t="shared" si="11"/>
        <v>767125988</v>
      </c>
      <c r="AM27" s="102">
        <f>ROUND(+'[5]TUA 2024'!T16,)</f>
        <v>859181103</v>
      </c>
      <c r="AN27" s="101"/>
      <c r="AO27" s="101"/>
      <c r="AP27" s="103">
        <f t="shared" si="12"/>
        <v>859181103</v>
      </c>
      <c r="AQ27" s="105">
        <f t="shared" si="9"/>
        <v>2965641011</v>
      </c>
      <c r="AR27" s="101">
        <f t="shared" si="9"/>
        <v>0</v>
      </c>
      <c r="AS27" s="101">
        <f t="shared" si="9"/>
        <v>0</v>
      </c>
      <c r="AT27" s="101">
        <f t="shared" si="9"/>
        <v>2965641011</v>
      </c>
      <c r="AU27" s="91" t="s">
        <v>61</v>
      </c>
      <c r="AV27" s="83" t="s">
        <v>125</v>
      </c>
      <c r="AW27" s="83" t="s">
        <v>126</v>
      </c>
      <c r="AX27" s="92" t="s">
        <v>64</v>
      </c>
      <c r="AY27" s="92" t="s">
        <v>127</v>
      </c>
      <c r="AZ27" s="92" t="s">
        <v>128</v>
      </c>
      <c r="BA27" s="92"/>
      <c r="BB27" s="93" t="s">
        <v>130</v>
      </c>
      <c r="BC27" s="93" t="s">
        <v>131</v>
      </c>
      <c r="BD27" s="93" t="s">
        <v>132</v>
      </c>
    </row>
    <row r="28" spans="1:56" s="69" customFormat="1" ht="105.6" x14ac:dyDescent="0.2">
      <c r="A28" s="246"/>
      <c r="B28" s="246"/>
      <c r="C28" s="248"/>
      <c r="D28" s="249"/>
      <c r="E28" s="255" t="s">
        <v>204</v>
      </c>
      <c r="F28" s="256">
        <f>+[5]Pond!AF37</f>
        <v>14</v>
      </c>
      <c r="G28" s="255" t="s">
        <v>52</v>
      </c>
      <c r="H28" s="110" t="s">
        <v>205</v>
      </c>
      <c r="I28" s="98" t="s">
        <v>206</v>
      </c>
      <c r="J28" s="99">
        <f>+[5]Pond!AF38</f>
        <v>6</v>
      </c>
      <c r="K28" s="83" t="s">
        <v>207</v>
      </c>
      <c r="L28" s="84">
        <v>100</v>
      </c>
      <c r="M28" s="83" t="s">
        <v>208</v>
      </c>
      <c r="N28" s="83" t="s">
        <v>209</v>
      </c>
      <c r="O28" s="83" t="s">
        <v>81</v>
      </c>
      <c r="P28" s="97">
        <v>5</v>
      </c>
      <c r="Q28" s="97">
        <v>30</v>
      </c>
      <c r="R28" s="97">
        <v>30</v>
      </c>
      <c r="S28" s="97">
        <v>35</v>
      </c>
      <c r="T28" s="97">
        <v>100</v>
      </c>
      <c r="U28" s="86" t="s">
        <v>210</v>
      </c>
      <c r="V28" s="94" t="str">
        <f>+M28</f>
        <v>Porcentaje de páramos delimitados por el MADS, con zonificación y régimen de usos adoptados por la CAR. (IMG Res.667/16)</v>
      </c>
      <c r="W28" s="90"/>
      <c r="X28" s="90"/>
      <c r="Y28" s="90"/>
      <c r="Z28" s="90"/>
      <c r="AA28" s="115">
        <f>+'[5]Gastos por fuentes 2024'!D106</f>
        <v>30453830</v>
      </c>
      <c r="AB28" s="115"/>
      <c r="AC28" s="115"/>
      <c r="AD28" s="115">
        <f t="shared" si="13"/>
        <v>30453830</v>
      </c>
      <c r="AE28" s="115">
        <f>+EVEN(AA28*3%+AA28)</f>
        <v>31367446</v>
      </c>
      <c r="AF28" s="115"/>
      <c r="AG28" s="115"/>
      <c r="AH28" s="115">
        <f t="shared" si="10"/>
        <v>31367446</v>
      </c>
      <c r="AI28" s="115">
        <f>+EVEN(AE28*10%+AE28)</f>
        <v>34504192</v>
      </c>
      <c r="AJ28" s="115"/>
      <c r="AK28" s="115"/>
      <c r="AL28" s="115">
        <f t="shared" si="11"/>
        <v>34504192</v>
      </c>
      <c r="AM28" s="115">
        <f>+EVEN(AI28*10%+AI28)</f>
        <v>37954612</v>
      </c>
      <c r="AN28" s="115"/>
      <c r="AO28" s="115"/>
      <c r="AP28" s="116">
        <f t="shared" si="12"/>
        <v>37954612</v>
      </c>
      <c r="AQ28" s="115">
        <f t="shared" si="9"/>
        <v>134280080</v>
      </c>
      <c r="AR28" s="115">
        <f t="shared" si="9"/>
        <v>0</v>
      </c>
      <c r="AS28" s="115">
        <f t="shared" si="9"/>
        <v>0</v>
      </c>
      <c r="AT28" s="115">
        <f t="shared" si="9"/>
        <v>134280080</v>
      </c>
      <c r="AU28" s="115" t="s">
        <v>61</v>
      </c>
      <c r="AV28" s="83" t="s">
        <v>211</v>
      </c>
      <c r="AW28" s="83" t="s">
        <v>212</v>
      </c>
      <c r="AX28" s="117" t="s">
        <v>64</v>
      </c>
      <c r="AY28" s="117" t="s">
        <v>127</v>
      </c>
      <c r="AZ28" s="117" t="s">
        <v>213</v>
      </c>
      <c r="BA28" s="117"/>
      <c r="BB28" s="93" t="s">
        <v>130</v>
      </c>
      <c r="BC28" s="93" t="s">
        <v>131</v>
      </c>
      <c r="BD28" s="93" t="s">
        <v>132</v>
      </c>
    </row>
    <row r="29" spans="1:56" s="69" customFormat="1" ht="97.2" x14ac:dyDescent="0.2">
      <c r="A29" s="246"/>
      <c r="B29" s="246"/>
      <c r="C29" s="248"/>
      <c r="D29" s="249"/>
      <c r="E29" s="255"/>
      <c r="F29" s="256"/>
      <c r="G29" s="255"/>
      <c r="H29" s="110" t="s">
        <v>214</v>
      </c>
      <c r="I29" s="98" t="s">
        <v>215</v>
      </c>
      <c r="J29" s="99">
        <f>+[5]Pond!AF39</f>
        <v>8</v>
      </c>
      <c r="K29" s="83" t="s">
        <v>216</v>
      </c>
      <c r="L29" s="84">
        <v>100</v>
      </c>
      <c r="M29" s="83" t="s">
        <v>217</v>
      </c>
      <c r="N29" s="83" t="s">
        <v>218</v>
      </c>
      <c r="O29" s="83" t="s">
        <v>81</v>
      </c>
      <c r="P29" s="97">
        <v>100</v>
      </c>
      <c r="Q29" s="97">
        <v>100</v>
      </c>
      <c r="R29" s="97">
        <v>100</v>
      </c>
      <c r="S29" s="97">
        <v>100</v>
      </c>
      <c r="T29" s="97">
        <v>100</v>
      </c>
      <c r="U29" s="86" t="s">
        <v>219</v>
      </c>
      <c r="V29" s="94" t="str">
        <f>+M29</f>
        <v xml:space="preserve">Porcentaje de especies amenazadas con medidas de conservación y manejo en ejecución. (IMG Res.667/16)
</v>
      </c>
      <c r="W29" s="88" t="s">
        <v>220</v>
      </c>
      <c r="X29" s="89" t="s">
        <v>221</v>
      </c>
      <c r="Y29" s="104" t="s">
        <v>222</v>
      </c>
      <c r="Z29" s="88" t="s">
        <v>223</v>
      </c>
      <c r="AA29" s="115">
        <f>+'[5]Gastos por fuentes 2024'!D107</f>
        <v>198370320</v>
      </c>
      <c r="AB29" s="115"/>
      <c r="AC29" s="115"/>
      <c r="AD29" s="115">
        <f t="shared" si="13"/>
        <v>198370320</v>
      </c>
      <c r="AE29" s="115">
        <f>+EVEN(AA29*3%+AA29)</f>
        <v>204321430</v>
      </c>
      <c r="AF29" s="115"/>
      <c r="AG29" s="115"/>
      <c r="AH29" s="115">
        <f t="shared" si="10"/>
        <v>204321430</v>
      </c>
      <c r="AI29" s="115">
        <f>+EVEN(AE29*10%+AE29)</f>
        <v>224753574</v>
      </c>
      <c r="AJ29" s="115"/>
      <c r="AK29" s="115"/>
      <c r="AL29" s="115">
        <f t="shared" si="11"/>
        <v>224753574</v>
      </c>
      <c r="AM29" s="115">
        <f>+EVEN(AI29*10%+AI29)</f>
        <v>247228932</v>
      </c>
      <c r="AN29" s="115"/>
      <c r="AO29" s="115"/>
      <c r="AP29" s="116">
        <f t="shared" si="12"/>
        <v>247228932</v>
      </c>
      <c r="AQ29" s="115">
        <f t="shared" si="9"/>
        <v>874674256</v>
      </c>
      <c r="AR29" s="115">
        <f t="shared" si="9"/>
        <v>0</v>
      </c>
      <c r="AS29" s="115">
        <f t="shared" si="9"/>
        <v>0</v>
      </c>
      <c r="AT29" s="115">
        <f t="shared" si="9"/>
        <v>874674256</v>
      </c>
      <c r="AU29" s="115" t="s">
        <v>61</v>
      </c>
      <c r="AV29" s="83" t="s">
        <v>112</v>
      </c>
      <c r="AW29" s="83" t="s">
        <v>112</v>
      </c>
      <c r="AX29" s="117" t="s">
        <v>64</v>
      </c>
      <c r="AY29" s="117" t="s">
        <v>65</v>
      </c>
      <c r="AZ29" s="117" t="s">
        <v>66</v>
      </c>
      <c r="BA29" s="117"/>
      <c r="BB29" s="93" t="s">
        <v>130</v>
      </c>
      <c r="BC29" s="93" t="s">
        <v>131</v>
      </c>
      <c r="BD29" s="93" t="s">
        <v>176</v>
      </c>
    </row>
    <row r="30" spans="1:56" s="69" customFormat="1" ht="38.4" x14ac:dyDescent="0.2">
      <c r="A30" s="246"/>
      <c r="B30" s="246"/>
      <c r="C30" s="248"/>
      <c r="D30" s="249"/>
      <c r="E30" s="255"/>
      <c r="F30" s="256"/>
      <c r="G30" s="255"/>
      <c r="H30" s="255" t="s">
        <v>224</v>
      </c>
      <c r="I30" s="257" t="s">
        <v>225</v>
      </c>
      <c r="J30" s="258">
        <f>+[5]Pond!AF40</f>
        <v>6</v>
      </c>
      <c r="K30" s="94" t="s">
        <v>226</v>
      </c>
      <c r="L30" s="108">
        <v>50</v>
      </c>
      <c r="M30" s="83" t="s">
        <v>227</v>
      </c>
      <c r="N30" s="83" t="s">
        <v>57</v>
      </c>
      <c r="O30" s="83" t="s">
        <v>81</v>
      </c>
      <c r="P30" s="97">
        <v>100</v>
      </c>
      <c r="Q30" s="97">
        <v>100</v>
      </c>
      <c r="R30" s="97">
        <v>100</v>
      </c>
      <c r="S30" s="97">
        <v>100</v>
      </c>
      <c r="T30" s="97">
        <v>100</v>
      </c>
      <c r="U30" s="86" t="s">
        <v>228</v>
      </c>
      <c r="V30" s="118"/>
      <c r="W30" s="88" t="s">
        <v>229</v>
      </c>
      <c r="X30" s="89" t="s">
        <v>230</v>
      </c>
      <c r="Y30" s="104" t="s">
        <v>231</v>
      </c>
      <c r="Z30" s="88" t="s">
        <v>232</v>
      </c>
      <c r="AA30" s="237">
        <f>+'[5]Gastos por fuentes 2024'!D108</f>
        <v>20541840</v>
      </c>
      <c r="AB30" s="237"/>
      <c r="AC30" s="237"/>
      <c r="AD30" s="237">
        <f t="shared" si="13"/>
        <v>20541840</v>
      </c>
      <c r="AE30" s="237">
        <f>+EVEN(AA30*3%+AA30)</f>
        <v>21158096</v>
      </c>
      <c r="AF30" s="237"/>
      <c r="AG30" s="237"/>
      <c r="AH30" s="237">
        <f t="shared" si="10"/>
        <v>21158096</v>
      </c>
      <c r="AI30" s="237">
        <f>+EVEN(AE30*10%+AE30)</f>
        <v>23273906</v>
      </c>
      <c r="AJ30" s="237"/>
      <c r="AK30" s="237"/>
      <c r="AL30" s="237">
        <f t="shared" si="11"/>
        <v>23273906</v>
      </c>
      <c r="AM30" s="237">
        <f>+EVEN(AI30*10%+AI30)</f>
        <v>25601298</v>
      </c>
      <c r="AN30" s="237"/>
      <c r="AO30" s="237"/>
      <c r="AP30" s="238">
        <f t="shared" si="12"/>
        <v>25601298</v>
      </c>
      <c r="AQ30" s="237">
        <f t="shared" si="9"/>
        <v>90575140</v>
      </c>
      <c r="AR30" s="237">
        <f t="shared" si="9"/>
        <v>0</v>
      </c>
      <c r="AS30" s="237">
        <f t="shared" si="9"/>
        <v>0</v>
      </c>
      <c r="AT30" s="237">
        <f t="shared" si="9"/>
        <v>90575140</v>
      </c>
      <c r="AU30" s="115" t="s">
        <v>61</v>
      </c>
      <c r="AV30" s="94" t="s">
        <v>233</v>
      </c>
      <c r="AW30" s="94" t="s">
        <v>234</v>
      </c>
      <c r="AX30" s="117" t="s">
        <v>64</v>
      </c>
      <c r="AY30" s="117" t="s">
        <v>65</v>
      </c>
      <c r="AZ30" s="117" t="s">
        <v>66</v>
      </c>
      <c r="BA30" s="234"/>
      <c r="BB30" s="93" t="s">
        <v>130</v>
      </c>
      <c r="BC30" s="93" t="s">
        <v>131</v>
      </c>
      <c r="BD30" s="93" t="s">
        <v>132</v>
      </c>
    </row>
    <row r="31" spans="1:56" s="69" customFormat="1" ht="38.4" x14ac:dyDescent="0.2">
      <c r="A31" s="246"/>
      <c r="B31" s="246"/>
      <c r="C31" s="248"/>
      <c r="D31" s="249"/>
      <c r="E31" s="255"/>
      <c r="F31" s="256"/>
      <c r="G31" s="255"/>
      <c r="H31" s="255"/>
      <c r="I31" s="257"/>
      <c r="J31" s="258"/>
      <c r="K31" s="83" t="s">
        <v>235</v>
      </c>
      <c r="L31" s="84">
        <v>50</v>
      </c>
      <c r="M31" s="83" t="s">
        <v>236</v>
      </c>
      <c r="N31" s="83" t="s">
        <v>237</v>
      </c>
      <c r="O31" s="83" t="s">
        <v>81</v>
      </c>
      <c r="P31" s="97">
        <v>100</v>
      </c>
      <c r="Q31" s="97">
        <v>100</v>
      </c>
      <c r="R31" s="97"/>
      <c r="S31" s="97"/>
      <c r="T31" s="97">
        <v>100</v>
      </c>
      <c r="U31" s="86" t="s">
        <v>238</v>
      </c>
      <c r="V31" s="86" t="str">
        <f>+M31</f>
        <v>Porcentaje de la superficie de áreas protegidas regionales declaradas, homologadas o recategorizadas, inscritas en el RUNAP (IMG Res 667/16)</v>
      </c>
      <c r="W31" s="88"/>
      <c r="X31" s="89"/>
      <c r="Y31" s="104"/>
      <c r="Z31" s="88"/>
      <c r="AA31" s="237"/>
      <c r="AB31" s="237"/>
      <c r="AC31" s="237"/>
      <c r="AD31" s="237"/>
      <c r="AE31" s="237"/>
      <c r="AF31" s="237"/>
      <c r="AG31" s="237"/>
      <c r="AH31" s="237"/>
      <c r="AI31" s="237">
        <f t="shared" si="8"/>
        <v>0</v>
      </c>
      <c r="AJ31" s="237"/>
      <c r="AK31" s="237"/>
      <c r="AL31" s="237"/>
      <c r="AM31" s="237">
        <f>+EVEN(AI31*6%+AI31)</f>
        <v>0</v>
      </c>
      <c r="AN31" s="237"/>
      <c r="AO31" s="237"/>
      <c r="AP31" s="238"/>
      <c r="AQ31" s="237">
        <f t="shared" si="9"/>
        <v>0</v>
      </c>
      <c r="AR31" s="237">
        <f t="shared" si="9"/>
        <v>0</v>
      </c>
      <c r="AS31" s="237">
        <f t="shared" si="9"/>
        <v>0</v>
      </c>
      <c r="AT31" s="237">
        <f t="shared" si="9"/>
        <v>0</v>
      </c>
      <c r="AU31" s="115" t="s">
        <v>61</v>
      </c>
      <c r="AV31" s="94" t="s">
        <v>233</v>
      </c>
      <c r="AW31" s="94" t="s">
        <v>234</v>
      </c>
      <c r="AX31" s="117" t="s">
        <v>64</v>
      </c>
      <c r="AY31" s="117" t="s">
        <v>65</v>
      </c>
      <c r="AZ31" s="117" t="s">
        <v>66</v>
      </c>
      <c r="BA31" s="234"/>
      <c r="BB31" s="93" t="s">
        <v>130</v>
      </c>
      <c r="BC31" s="93" t="s">
        <v>131</v>
      </c>
      <c r="BD31" s="93" t="s">
        <v>132</v>
      </c>
    </row>
    <row r="32" spans="1:56" s="69" customFormat="1" ht="72.599999999999994" x14ac:dyDescent="0.2">
      <c r="A32" s="246"/>
      <c r="B32" s="246"/>
      <c r="C32" s="248"/>
      <c r="D32" s="249"/>
      <c r="E32" s="255"/>
      <c r="F32" s="256"/>
      <c r="G32" s="255"/>
      <c r="H32" s="110" t="s">
        <v>239</v>
      </c>
      <c r="I32" s="98" t="s">
        <v>240</v>
      </c>
      <c r="J32" s="99">
        <f>+[5]Pond!AF41</f>
        <v>6</v>
      </c>
      <c r="K32" s="94" t="s">
        <v>241</v>
      </c>
      <c r="L32" s="108">
        <v>100</v>
      </c>
      <c r="M32" s="94" t="s">
        <v>242</v>
      </c>
      <c r="N32" s="94" t="s">
        <v>57</v>
      </c>
      <c r="O32" s="94" t="s">
        <v>58</v>
      </c>
      <c r="P32" s="85">
        <v>3</v>
      </c>
      <c r="Q32" s="85">
        <v>3</v>
      </c>
      <c r="R32" s="85">
        <v>3</v>
      </c>
      <c r="S32" s="85">
        <v>3</v>
      </c>
      <c r="T32" s="85">
        <f>SUM(P32:S32)</f>
        <v>12</v>
      </c>
      <c r="U32" s="86" t="s">
        <v>243</v>
      </c>
      <c r="V32" s="87"/>
      <c r="W32" s="88" t="s">
        <v>244</v>
      </c>
      <c r="X32" s="89" t="s">
        <v>245</v>
      </c>
      <c r="Y32" s="104"/>
      <c r="Z32" s="88"/>
      <c r="AA32" s="115">
        <f>+'[5]Gastos por fuentes 2024'!D109</f>
        <v>41083680</v>
      </c>
      <c r="AB32" s="115"/>
      <c r="AC32" s="115"/>
      <c r="AD32" s="115">
        <f>SUM(AA32:AC32)</f>
        <v>41083680</v>
      </c>
      <c r="AE32" s="115">
        <f>+EVEN(AA32*3%+AA32)</f>
        <v>42316192</v>
      </c>
      <c r="AF32" s="115"/>
      <c r="AG32" s="115"/>
      <c r="AH32" s="115">
        <f>SUM(AE32:AG32)</f>
        <v>42316192</v>
      </c>
      <c r="AI32" s="115">
        <f>+EVEN(AE32*10%+AE32)</f>
        <v>46547812</v>
      </c>
      <c r="AJ32" s="115"/>
      <c r="AK32" s="115"/>
      <c r="AL32" s="115">
        <f>SUM(AI32:AK32)</f>
        <v>46547812</v>
      </c>
      <c r="AM32" s="115">
        <f>+EVEN(AI32*10%+AI32)</f>
        <v>51202594</v>
      </c>
      <c r="AN32" s="115"/>
      <c r="AO32" s="115"/>
      <c r="AP32" s="116">
        <f>SUM(AM32:AO32)</f>
        <v>51202594</v>
      </c>
      <c r="AQ32" s="115">
        <f t="shared" si="9"/>
        <v>181150278</v>
      </c>
      <c r="AR32" s="115">
        <f t="shared" si="9"/>
        <v>0</v>
      </c>
      <c r="AS32" s="115">
        <f t="shared" si="9"/>
        <v>0</v>
      </c>
      <c r="AT32" s="115">
        <f t="shared" si="9"/>
        <v>181150278</v>
      </c>
      <c r="AU32" s="115" t="s">
        <v>61</v>
      </c>
      <c r="AV32" s="94" t="s">
        <v>246</v>
      </c>
      <c r="AW32" s="94" t="s">
        <v>247</v>
      </c>
      <c r="AX32" s="117" t="s">
        <v>64</v>
      </c>
      <c r="AY32" s="117" t="s">
        <v>65</v>
      </c>
      <c r="AZ32" s="117" t="s">
        <v>66</v>
      </c>
      <c r="BA32" s="117"/>
      <c r="BB32" s="93" t="s">
        <v>130</v>
      </c>
      <c r="BC32" s="93" t="s">
        <v>131</v>
      </c>
      <c r="BD32" s="93" t="s">
        <v>132</v>
      </c>
    </row>
    <row r="33" spans="1:56" s="69" customFormat="1" ht="38.4" x14ac:dyDescent="0.2">
      <c r="A33" s="246"/>
      <c r="B33" s="246"/>
      <c r="C33" s="248"/>
      <c r="D33" s="249"/>
      <c r="E33" s="255"/>
      <c r="F33" s="256"/>
      <c r="G33" s="255"/>
      <c r="H33" s="255" t="s">
        <v>248</v>
      </c>
      <c r="I33" s="257" t="s">
        <v>249</v>
      </c>
      <c r="J33" s="258">
        <f>+[5]Pond!AF42</f>
        <v>12</v>
      </c>
      <c r="K33" s="83" t="s">
        <v>250</v>
      </c>
      <c r="L33" s="84">
        <v>50</v>
      </c>
      <c r="M33" s="83" t="s">
        <v>251</v>
      </c>
      <c r="N33" s="83" t="s">
        <v>57</v>
      </c>
      <c r="O33" s="119" t="s">
        <v>104</v>
      </c>
      <c r="P33" s="97">
        <v>2</v>
      </c>
      <c r="Q33" s="97">
        <v>3</v>
      </c>
      <c r="R33" s="97">
        <v>3</v>
      </c>
      <c r="S33" s="97">
        <v>3</v>
      </c>
      <c r="T33" s="85">
        <v>3</v>
      </c>
      <c r="U33" s="86" t="s">
        <v>252</v>
      </c>
      <c r="V33" s="87"/>
      <c r="W33" s="88"/>
      <c r="X33" s="88"/>
      <c r="Y33" s="88" t="s">
        <v>231</v>
      </c>
      <c r="Z33" s="88" t="s">
        <v>232</v>
      </c>
      <c r="AA33" s="237">
        <f>+'[5]Gastos por fuentes 2024'!D114</f>
        <v>445996880</v>
      </c>
      <c r="AB33" s="237"/>
      <c r="AC33" s="237"/>
      <c r="AD33" s="237">
        <f>SUM(AA33:AC33)</f>
        <v>445996880</v>
      </c>
      <c r="AE33" s="237">
        <f>+EVEN(AA33*3%+AA33)</f>
        <v>459376788</v>
      </c>
      <c r="AF33" s="237"/>
      <c r="AG33" s="237"/>
      <c r="AH33" s="237">
        <f>SUM(AE33:AG33)</f>
        <v>459376788</v>
      </c>
      <c r="AI33" s="237">
        <f>+EVEN(AE33*10%+AE33)</f>
        <v>505314468</v>
      </c>
      <c r="AJ33" s="237"/>
      <c r="AK33" s="237"/>
      <c r="AL33" s="237">
        <f>SUM(AI33:AK33)</f>
        <v>505314468</v>
      </c>
      <c r="AM33" s="237">
        <f>+EVEN(AI33*10%+AI33)</f>
        <v>555845916</v>
      </c>
      <c r="AN33" s="237"/>
      <c r="AO33" s="237"/>
      <c r="AP33" s="238">
        <f>SUM(AM33:AO33)</f>
        <v>555845916</v>
      </c>
      <c r="AQ33" s="237">
        <f t="shared" si="9"/>
        <v>1966534052</v>
      </c>
      <c r="AR33" s="237">
        <f t="shared" si="9"/>
        <v>0</v>
      </c>
      <c r="AS33" s="237">
        <f t="shared" si="9"/>
        <v>0</v>
      </c>
      <c r="AT33" s="237">
        <f t="shared" si="9"/>
        <v>1966534052</v>
      </c>
      <c r="AU33" s="115" t="s">
        <v>61</v>
      </c>
      <c r="AV33" s="83" t="s">
        <v>253</v>
      </c>
      <c r="AW33" s="83" t="s">
        <v>254</v>
      </c>
      <c r="AX33" s="117" t="s">
        <v>64</v>
      </c>
      <c r="AY33" s="117" t="s">
        <v>65</v>
      </c>
      <c r="AZ33" s="117" t="s">
        <v>66</v>
      </c>
      <c r="BA33" s="234"/>
      <c r="BB33" s="93" t="s">
        <v>130</v>
      </c>
      <c r="BC33" s="93" t="s">
        <v>131</v>
      </c>
      <c r="BD33" s="93" t="s">
        <v>132</v>
      </c>
    </row>
    <row r="34" spans="1:56" s="69" customFormat="1" ht="57.6" x14ac:dyDescent="0.2">
      <c r="A34" s="246"/>
      <c r="B34" s="246"/>
      <c r="C34" s="248"/>
      <c r="D34" s="249"/>
      <c r="E34" s="255"/>
      <c r="F34" s="256"/>
      <c r="G34" s="255"/>
      <c r="H34" s="255"/>
      <c r="I34" s="257"/>
      <c r="J34" s="258"/>
      <c r="K34" s="83" t="s">
        <v>255</v>
      </c>
      <c r="L34" s="84">
        <v>50</v>
      </c>
      <c r="M34" s="83" t="s">
        <v>256</v>
      </c>
      <c r="N34" s="83" t="s">
        <v>257</v>
      </c>
      <c r="O34" s="119" t="s">
        <v>73</v>
      </c>
      <c r="P34" s="97">
        <v>100</v>
      </c>
      <c r="Q34" s="97">
        <v>100</v>
      </c>
      <c r="R34" s="97">
        <v>100</v>
      </c>
      <c r="S34" s="97">
        <v>100</v>
      </c>
      <c r="T34" s="97">
        <v>100</v>
      </c>
      <c r="U34" s="86" t="s">
        <v>258</v>
      </c>
      <c r="V34" s="94" t="str">
        <f>+M34</f>
        <v xml:space="preserve">Porcentaje de áreas Protegidas con planes de manejo en ejecución (IMG 667/2016) </v>
      </c>
      <c r="W34" s="88"/>
      <c r="X34" s="88"/>
      <c r="Y34" s="88" t="s">
        <v>259</v>
      </c>
      <c r="Z34" s="88" t="s">
        <v>232</v>
      </c>
      <c r="AA34" s="237"/>
      <c r="AB34" s="237"/>
      <c r="AC34" s="237"/>
      <c r="AD34" s="237"/>
      <c r="AE34" s="237"/>
      <c r="AF34" s="237"/>
      <c r="AG34" s="237"/>
      <c r="AH34" s="237"/>
      <c r="AI34" s="237">
        <f>+EVEN(AE34*6%+AE34)</f>
        <v>0</v>
      </c>
      <c r="AJ34" s="237"/>
      <c r="AK34" s="237"/>
      <c r="AL34" s="237"/>
      <c r="AM34" s="237">
        <f>+EVEN(AI34*6%+AI34)</f>
        <v>0</v>
      </c>
      <c r="AN34" s="237"/>
      <c r="AO34" s="237"/>
      <c r="AP34" s="238"/>
      <c r="AQ34" s="237">
        <f t="shared" si="9"/>
        <v>0</v>
      </c>
      <c r="AR34" s="237">
        <f t="shared" si="9"/>
        <v>0</v>
      </c>
      <c r="AS34" s="237">
        <f t="shared" si="9"/>
        <v>0</v>
      </c>
      <c r="AT34" s="237">
        <f t="shared" si="9"/>
        <v>0</v>
      </c>
      <c r="AU34" s="115" t="s">
        <v>61</v>
      </c>
      <c r="AV34" s="83" t="s">
        <v>253</v>
      </c>
      <c r="AW34" s="83" t="s">
        <v>254</v>
      </c>
      <c r="AX34" s="117" t="s">
        <v>64</v>
      </c>
      <c r="AY34" s="117" t="s">
        <v>65</v>
      </c>
      <c r="AZ34" s="117" t="s">
        <v>66</v>
      </c>
      <c r="BA34" s="234"/>
      <c r="BB34" s="93" t="s">
        <v>130</v>
      </c>
      <c r="BC34" s="93" t="s">
        <v>131</v>
      </c>
      <c r="BD34" s="93" t="s">
        <v>132</v>
      </c>
    </row>
    <row r="35" spans="1:56" s="69" customFormat="1" ht="76.8" x14ac:dyDescent="0.2">
      <c r="A35" s="246"/>
      <c r="B35" s="246"/>
      <c r="C35" s="248"/>
      <c r="D35" s="249"/>
      <c r="E35" s="255"/>
      <c r="F35" s="256"/>
      <c r="G35" s="255"/>
      <c r="H35" s="255" t="s">
        <v>260</v>
      </c>
      <c r="I35" s="257" t="s">
        <v>261</v>
      </c>
      <c r="J35" s="258">
        <f>+[5]Pond!AF43</f>
        <v>39</v>
      </c>
      <c r="K35" s="83" t="s">
        <v>262</v>
      </c>
      <c r="L35" s="84">
        <v>20</v>
      </c>
      <c r="M35" s="83" t="s">
        <v>173</v>
      </c>
      <c r="N35" s="83" t="s">
        <v>57</v>
      </c>
      <c r="O35" s="119" t="s">
        <v>73</v>
      </c>
      <c r="P35" s="97">
        <v>100</v>
      </c>
      <c r="Q35" s="97">
        <v>100</v>
      </c>
      <c r="R35" s="97">
        <v>100</v>
      </c>
      <c r="S35" s="97">
        <v>100</v>
      </c>
      <c r="T35" s="97">
        <v>100</v>
      </c>
      <c r="U35" s="86" t="s">
        <v>263</v>
      </c>
      <c r="V35" s="87"/>
      <c r="W35" s="88" t="s">
        <v>264</v>
      </c>
      <c r="X35" s="88" t="s">
        <v>265</v>
      </c>
      <c r="Y35" s="90"/>
      <c r="Z35" s="90"/>
      <c r="AA35" s="237">
        <f>+'[5]Gastos por fuentes 2024'!D110-140267500</f>
        <v>1213128830</v>
      </c>
      <c r="AB35" s="237"/>
      <c r="AC35" s="237">
        <v>2208277563</v>
      </c>
      <c r="AD35" s="237">
        <f>SUM(AA35:AC35)</f>
        <v>3421406393</v>
      </c>
      <c r="AE35" s="237">
        <f>+EVEN(AA35*3%+AA35)</f>
        <v>1249522696</v>
      </c>
      <c r="AF35" s="237"/>
      <c r="AG35" s="237"/>
      <c r="AH35" s="237">
        <f>SUM(AE35:AG35)</f>
        <v>1249522696</v>
      </c>
      <c r="AI35" s="237">
        <f>+EVEN(AE35*10%+AE35)+100000000</f>
        <v>1474474966</v>
      </c>
      <c r="AJ35" s="237"/>
      <c r="AK35" s="237"/>
      <c r="AL35" s="237">
        <f>SUM(AI35:AK35)</f>
        <v>1474474966</v>
      </c>
      <c r="AM35" s="237">
        <f>+EVEN(AI35*10%+AI35)+100000000+150000000</f>
        <v>1871922464</v>
      </c>
      <c r="AN35" s="237">
        <v>1700000000</v>
      </c>
      <c r="AO35" s="237"/>
      <c r="AP35" s="238">
        <f>SUM(AM35:AO35)</f>
        <v>3571922464</v>
      </c>
      <c r="AQ35" s="237">
        <f t="shared" si="9"/>
        <v>5809048956</v>
      </c>
      <c r="AR35" s="237">
        <f t="shared" si="9"/>
        <v>1700000000</v>
      </c>
      <c r="AS35" s="237">
        <f t="shared" si="9"/>
        <v>2208277563</v>
      </c>
      <c r="AT35" s="237">
        <f t="shared" si="9"/>
        <v>9717326519</v>
      </c>
      <c r="AU35" s="115" t="s">
        <v>61</v>
      </c>
      <c r="AV35" s="83" t="s">
        <v>85</v>
      </c>
      <c r="AW35" s="83" t="s">
        <v>85</v>
      </c>
      <c r="AX35" s="117" t="s">
        <v>64</v>
      </c>
      <c r="AY35" s="117" t="s">
        <v>65</v>
      </c>
      <c r="AZ35" s="117" t="s">
        <v>66</v>
      </c>
      <c r="BA35" s="234"/>
      <c r="BB35" s="93" t="s">
        <v>130</v>
      </c>
      <c r="BC35" s="93" t="s">
        <v>131</v>
      </c>
      <c r="BD35" s="93" t="s">
        <v>266</v>
      </c>
    </row>
    <row r="36" spans="1:56" s="69" customFormat="1" ht="48" x14ac:dyDescent="0.2">
      <c r="A36" s="246"/>
      <c r="B36" s="246"/>
      <c r="C36" s="248"/>
      <c r="D36" s="249"/>
      <c r="E36" s="255"/>
      <c r="F36" s="256"/>
      <c r="G36" s="255"/>
      <c r="H36" s="255"/>
      <c r="I36" s="257"/>
      <c r="J36" s="258"/>
      <c r="K36" s="83" t="s">
        <v>267</v>
      </c>
      <c r="L36" s="84">
        <v>20</v>
      </c>
      <c r="M36" s="83" t="s">
        <v>268</v>
      </c>
      <c r="N36" s="83" t="s">
        <v>57</v>
      </c>
      <c r="O36" s="83" t="s">
        <v>58</v>
      </c>
      <c r="P36" s="85">
        <v>10</v>
      </c>
      <c r="Q36" s="85">
        <v>10</v>
      </c>
      <c r="R36" s="85">
        <v>10</v>
      </c>
      <c r="S36" s="85">
        <v>10</v>
      </c>
      <c r="T36" s="85">
        <f>SUM(P36:S36)</f>
        <v>40</v>
      </c>
      <c r="U36" s="86"/>
      <c r="V36" s="87"/>
      <c r="W36" s="88" t="s">
        <v>172</v>
      </c>
      <c r="X36" s="88" t="s">
        <v>173</v>
      </c>
      <c r="Y36" s="90"/>
      <c r="Z36" s="90"/>
      <c r="AA36" s="237"/>
      <c r="AB36" s="237"/>
      <c r="AC36" s="237"/>
      <c r="AD36" s="237"/>
      <c r="AE36" s="237"/>
      <c r="AF36" s="237"/>
      <c r="AG36" s="237"/>
      <c r="AH36" s="237"/>
      <c r="AI36" s="237">
        <f>+EVEN(AE36*6%+AE36)</f>
        <v>0</v>
      </c>
      <c r="AJ36" s="237"/>
      <c r="AK36" s="237"/>
      <c r="AL36" s="237"/>
      <c r="AM36" s="237">
        <f>+EVEN(AI36*6%+AI36)</f>
        <v>0</v>
      </c>
      <c r="AN36" s="237"/>
      <c r="AO36" s="237"/>
      <c r="AP36" s="238"/>
      <c r="AQ36" s="237">
        <f t="shared" si="9"/>
        <v>0</v>
      </c>
      <c r="AR36" s="237">
        <f t="shared" si="9"/>
        <v>0</v>
      </c>
      <c r="AS36" s="237">
        <f t="shared" si="9"/>
        <v>0</v>
      </c>
      <c r="AT36" s="237">
        <f t="shared" si="9"/>
        <v>0</v>
      </c>
      <c r="AU36" s="115" t="s">
        <v>61</v>
      </c>
      <c r="AV36" s="83" t="s">
        <v>125</v>
      </c>
      <c r="AW36" s="83" t="s">
        <v>126</v>
      </c>
      <c r="AX36" s="117" t="s">
        <v>269</v>
      </c>
      <c r="AY36" s="117" t="s">
        <v>65</v>
      </c>
      <c r="AZ36" s="117" t="s">
        <v>66</v>
      </c>
      <c r="BA36" s="234"/>
      <c r="BB36" s="93" t="s">
        <v>130</v>
      </c>
      <c r="BC36" s="93" t="s">
        <v>131</v>
      </c>
      <c r="BD36" s="93" t="s">
        <v>132</v>
      </c>
    </row>
    <row r="37" spans="1:56" s="69" customFormat="1" ht="38.4" x14ac:dyDescent="0.2">
      <c r="A37" s="246"/>
      <c r="B37" s="246"/>
      <c r="C37" s="248"/>
      <c r="D37" s="249"/>
      <c r="E37" s="255"/>
      <c r="F37" s="256"/>
      <c r="G37" s="255"/>
      <c r="H37" s="255"/>
      <c r="I37" s="257"/>
      <c r="J37" s="258"/>
      <c r="K37" s="83" t="s">
        <v>270</v>
      </c>
      <c r="L37" s="84">
        <v>20</v>
      </c>
      <c r="M37" s="83" t="s">
        <v>271</v>
      </c>
      <c r="N37" s="83" t="s">
        <v>119</v>
      </c>
      <c r="O37" s="119" t="s">
        <v>73</v>
      </c>
      <c r="P37" s="97">
        <v>100</v>
      </c>
      <c r="Q37" s="97">
        <v>100</v>
      </c>
      <c r="R37" s="97">
        <v>100</v>
      </c>
      <c r="S37" s="97">
        <v>100</v>
      </c>
      <c r="T37" s="97">
        <v>100</v>
      </c>
      <c r="U37" s="86" t="s">
        <v>272</v>
      </c>
      <c r="V37" s="87"/>
      <c r="W37" s="88" t="s">
        <v>121</v>
      </c>
      <c r="X37" s="89" t="s">
        <v>122</v>
      </c>
      <c r="Y37" s="104" t="s">
        <v>123</v>
      </c>
      <c r="Z37" s="88" t="s">
        <v>124</v>
      </c>
      <c r="AA37" s="237"/>
      <c r="AB37" s="237"/>
      <c r="AC37" s="237"/>
      <c r="AD37" s="237"/>
      <c r="AE37" s="237"/>
      <c r="AF37" s="237"/>
      <c r="AG37" s="237"/>
      <c r="AH37" s="237"/>
      <c r="AI37" s="237">
        <f>+EVEN(AE37*6%+AE37)</f>
        <v>0</v>
      </c>
      <c r="AJ37" s="237"/>
      <c r="AK37" s="237"/>
      <c r="AL37" s="237"/>
      <c r="AM37" s="237">
        <f>+EVEN(AI37*6%+AI37)</f>
        <v>0</v>
      </c>
      <c r="AN37" s="237"/>
      <c r="AO37" s="237"/>
      <c r="AP37" s="238"/>
      <c r="AQ37" s="237">
        <f t="shared" si="9"/>
        <v>0</v>
      </c>
      <c r="AR37" s="237">
        <f t="shared" si="9"/>
        <v>0</v>
      </c>
      <c r="AS37" s="237">
        <f t="shared" si="9"/>
        <v>0</v>
      </c>
      <c r="AT37" s="237">
        <f t="shared" si="9"/>
        <v>0</v>
      </c>
      <c r="AU37" s="115" t="s">
        <v>61</v>
      </c>
      <c r="AV37" s="83" t="s">
        <v>125</v>
      </c>
      <c r="AW37" s="83" t="s">
        <v>126</v>
      </c>
      <c r="AX37" s="117" t="s">
        <v>64</v>
      </c>
      <c r="AY37" s="117" t="s">
        <v>65</v>
      </c>
      <c r="AZ37" s="117" t="s">
        <v>66</v>
      </c>
      <c r="BA37" s="234"/>
      <c r="BB37" s="93" t="s">
        <v>130</v>
      </c>
      <c r="BC37" s="93" t="s">
        <v>131</v>
      </c>
      <c r="BD37" s="93" t="s">
        <v>132</v>
      </c>
    </row>
    <row r="38" spans="1:56" s="69" customFormat="1" ht="28.8" x14ac:dyDescent="0.2">
      <c r="A38" s="246"/>
      <c r="B38" s="246"/>
      <c r="C38" s="248"/>
      <c r="D38" s="249"/>
      <c r="E38" s="255"/>
      <c r="F38" s="256"/>
      <c r="G38" s="255"/>
      <c r="H38" s="255"/>
      <c r="I38" s="257"/>
      <c r="J38" s="258"/>
      <c r="K38" s="94" t="s">
        <v>273</v>
      </c>
      <c r="L38" s="108">
        <v>20</v>
      </c>
      <c r="M38" s="94" t="s">
        <v>274</v>
      </c>
      <c r="N38" s="94" t="s">
        <v>57</v>
      </c>
      <c r="O38" s="119" t="s">
        <v>73</v>
      </c>
      <c r="P38" s="97"/>
      <c r="Q38" s="97"/>
      <c r="R38" s="97"/>
      <c r="S38" s="97">
        <v>100</v>
      </c>
      <c r="T38" s="97">
        <f>SUM(R38:S38)</f>
        <v>100</v>
      </c>
      <c r="U38" s="86"/>
      <c r="V38" s="87"/>
      <c r="W38" s="88"/>
      <c r="X38" s="89"/>
      <c r="Y38" s="104"/>
      <c r="Z38" s="88"/>
      <c r="AA38" s="237"/>
      <c r="AB38" s="237"/>
      <c r="AC38" s="237"/>
      <c r="AD38" s="237"/>
      <c r="AE38" s="237"/>
      <c r="AF38" s="237"/>
      <c r="AG38" s="237"/>
      <c r="AH38" s="237"/>
      <c r="AI38" s="237"/>
      <c r="AJ38" s="237"/>
      <c r="AK38" s="237"/>
      <c r="AL38" s="237"/>
      <c r="AM38" s="237"/>
      <c r="AN38" s="237"/>
      <c r="AO38" s="237"/>
      <c r="AP38" s="238"/>
      <c r="AQ38" s="237"/>
      <c r="AR38" s="237"/>
      <c r="AS38" s="237"/>
      <c r="AT38" s="237"/>
      <c r="AU38" s="115" t="s">
        <v>61</v>
      </c>
      <c r="AV38" s="94" t="s">
        <v>275</v>
      </c>
      <c r="AW38" s="94" t="s">
        <v>276</v>
      </c>
      <c r="AX38" s="117" t="s">
        <v>277</v>
      </c>
      <c r="AY38" s="117" t="s">
        <v>127</v>
      </c>
      <c r="AZ38" s="117" t="s">
        <v>213</v>
      </c>
      <c r="BA38" s="234"/>
      <c r="BB38" s="93" t="s">
        <v>68</v>
      </c>
      <c r="BC38" s="93" t="s">
        <v>152</v>
      </c>
      <c r="BD38" s="93" t="s">
        <v>70</v>
      </c>
    </row>
    <row r="39" spans="1:56" s="69" customFormat="1" ht="28.8" x14ac:dyDescent="0.2">
      <c r="A39" s="246"/>
      <c r="B39" s="246"/>
      <c r="C39" s="248"/>
      <c r="D39" s="249"/>
      <c r="E39" s="255"/>
      <c r="F39" s="256"/>
      <c r="G39" s="255"/>
      <c r="H39" s="255"/>
      <c r="I39" s="257"/>
      <c r="J39" s="258"/>
      <c r="K39" s="120" t="s">
        <v>278</v>
      </c>
      <c r="L39" s="121">
        <v>20</v>
      </c>
      <c r="M39" s="122" t="s">
        <v>279</v>
      </c>
      <c r="N39" s="123" t="s">
        <v>57</v>
      </c>
      <c r="O39" s="122" t="s">
        <v>81</v>
      </c>
      <c r="P39" s="124"/>
      <c r="Q39" s="97"/>
      <c r="R39" s="97">
        <v>50</v>
      </c>
      <c r="S39" s="97">
        <v>50</v>
      </c>
      <c r="T39" s="124"/>
      <c r="U39" s="104" t="s">
        <v>280</v>
      </c>
      <c r="V39" s="93"/>
      <c r="W39" s="90"/>
      <c r="X39" s="90"/>
      <c r="Y39" s="90"/>
      <c r="Z39" s="90"/>
      <c r="AA39" s="237"/>
      <c r="AB39" s="237"/>
      <c r="AC39" s="237"/>
      <c r="AD39" s="237"/>
      <c r="AE39" s="237"/>
      <c r="AF39" s="237"/>
      <c r="AG39" s="237"/>
      <c r="AH39" s="237"/>
      <c r="AI39" s="237">
        <f>+EVEN(AE39*6%+AE39)</f>
        <v>0</v>
      </c>
      <c r="AJ39" s="237"/>
      <c r="AK39" s="237"/>
      <c r="AL39" s="237"/>
      <c r="AM39" s="237">
        <f>+EVEN(AI39*6%+AI39)</f>
        <v>0</v>
      </c>
      <c r="AN39" s="237"/>
      <c r="AO39" s="237"/>
      <c r="AP39" s="238"/>
      <c r="AQ39" s="237">
        <f>+AA39+AE39+AI39+AM39</f>
        <v>0</v>
      </c>
      <c r="AR39" s="237">
        <f>+AB39+AF39+AJ39+AN39</f>
        <v>0</v>
      </c>
      <c r="AS39" s="237">
        <f>+AC39+AG39+AK39+AO39</f>
        <v>0</v>
      </c>
      <c r="AT39" s="237">
        <f>+AD39+AH39+AL39+AP39</f>
        <v>0</v>
      </c>
      <c r="AU39" s="115" t="s">
        <v>61</v>
      </c>
      <c r="AV39" s="83" t="s">
        <v>281</v>
      </c>
      <c r="AW39" s="120" t="s">
        <v>282</v>
      </c>
      <c r="AX39" s="117" t="s">
        <v>277</v>
      </c>
      <c r="AY39" s="117" t="s">
        <v>127</v>
      </c>
      <c r="AZ39" s="117" t="s">
        <v>213</v>
      </c>
      <c r="BA39" s="234"/>
      <c r="BB39" s="93" t="s">
        <v>68</v>
      </c>
      <c r="BC39" s="93" t="s">
        <v>77</v>
      </c>
      <c r="BD39" s="93" t="s">
        <v>70</v>
      </c>
    </row>
    <row r="40" spans="1:56" s="69" customFormat="1" ht="83.4" x14ac:dyDescent="0.2">
      <c r="A40" s="246"/>
      <c r="B40" s="246"/>
      <c r="C40" s="248"/>
      <c r="D40" s="249"/>
      <c r="E40" s="255"/>
      <c r="F40" s="256"/>
      <c r="G40" s="255"/>
      <c r="H40" s="110" t="s">
        <v>283</v>
      </c>
      <c r="I40" s="98" t="s">
        <v>284</v>
      </c>
      <c r="J40" s="99">
        <f>+[5]Pond!AF44</f>
        <v>8</v>
      </c>
      <c r="K40" s="83" t="s">
        <v>285</v>
      </c>
      <c r="L40" s="84">
        <v>100</v>
      </c>
      <c r="M40" s="83" t="s">
        <v>286</v>
      </c>
      <c r="N40" s="83" t="s">
        <v>57</v>
      </c>
      <c r="O40" s="119" t="s">
        <v>104</v>
      </c>
      <c r="P40" s="97">
        <v>4</v>
      </c>
      <c r="Q40" s="97">
        <v>4</v>
      </c>
      <c r="R40" s="97">
        <v>4</v>
      </c>
      <c r="S40" s="97">
        <v>4</v>
      </c>
      <c r="T40" s="85">
        <v>4</v>
      </c>
      <c r="U40" s="86" t="s">
        <v>287</v>
      </c>
      <c r="V40" s="87"/>
      <c r="W40" s="88" t="s">
        <v>288</v>
      </c>
      <c r="X40" s="89" t="s">
        <v>289</v>
      </c>
      <c r="Y40" s="90"/>
      <c r="Z40" s="90"/>
      <c r="AA40" s="115">
        <v>140267500</v>
      </c>
      <c r="AB40" s="115">
        <f t="shared" ref="AB40" si="14">SUM(AB35)</f>
        <v>0</v>
      </c>
      <c r="AC40" s="115"/>
      <c r="AD40" s="115">
        <f>SUM(AA40:AC40)</f>
        <v>140267500</v>
      </c>
      <c r="AE40" s="115">
        <f>+EVEN(AA40*3%+AA40)-2</f>
        <v>144475524</v>
      </c>
      <c r="AF40" s="115"/>
      <c r="AG40" s="115"/>
      <c r="AH40" s="115">
        <f>SUM(AE40:AG40)</f>
        <v>144475524</v>
      </c>
      <c r="AI40" s="115">
        <f>+EVEN(AE40*10%+AE40)-2</f>
        <v>158923076</v>
      </c>
      <c r="AJ40" s="125"/>
      <c r="AK40" s="125"/>
      <c r="AL40" s="115">
        <f>SUM(AI40:AK40)</f>
        <v>158923076</v>
      </c>
      <c r="AM40" s="115">
        <f>+EVEN(AI40*10%+AI40)</f>
        <v>174815384</v>
      </c>
      <c r="AN40" s="125"/>
      <c r="AO40" s="125"/>
      <c r="AP40" s="116">
        <f>SUM(AM40:AO40)</f>
        <v>174815384</v>
      </c>
      <c r="AQ40" s="115">
        <f t="shared" ref="AQ40:AS50" si="15">+AA40+AE40+AI40+AM40</f>
        <v>618481484</v>
      </c>
      <c r="AR40" s="125"/>
      <c r="AS40" s="125"/>
      <c r="AT40" s="115">
        <f t="shared" ref="AT40:AT50" si="16">+AD40+AH40+AL40+AP40</f>
        <v>618481484</v>
      </c>
      <c r="AU40" s="115" t="s">
        <v>61</v>
      </c>
      <c r="AV40" s="126" t="s">
        <v>196</v>
      </c>
      <c r="AW40" s="83" t="s">
        <v>197</v>
      </c>
      <c r="AX40" s="117" t="s">
        <v>64</v>
      </c>
      <c r="AY40" s="117" t="s">
        <v>65</v>
      </c>
      <c r="AZ40" s="117" t="s">
        <v>66</v>
      </c>
      <c r="BA40" s="117"/>
      <c r="BB40" s="93" t="s">
        <v>68</v>
      </c>
      <c r="BC40" s="93" t="s">
        <v>77</v>
      </c>
      <c r="BD40" s="93" t="s">
        <v>70</v>
      </c>
    </row>
    <row r="41" spans="1:56" s="69" customFormat="1" ht="86.4" x14ac:dyDescent="0.2">
      <c r="A41" s="246"/>
      <c r="B41" s="246"/>
      <c r="C41" s="248"/>
      <c r="D41" s="249"/>
      <c r="E41" s="255"/>
      <c r="F41" s="256"/>
      <c r="G41" s="255"/>
      <c r="H41" s="110" t="s">
        <v>290</v>
      </c>
      <c r="I41" s="98" t="s">
        <v>291</v>
      </c>
      <c r="J41" s="99">
        <f>+[5]Pond!AF45</f>
        <v>8</v>
      </c>
      <c r="K41" s="83" t="s">
        <v>292</v>
      </c>
      <c r="L41" s="84">
        <v>100</v>
      </c>
      <c r="M41" s="83" t="s">
        <v>293</v>
      </c>
      <c r="N41" s="83" t="s">
        <v>57</v>
      </c>
      <c r="O41" s="83" t="s">
        <v>104</v>
      </c>
      <c r="P41" s="85">
        <v>2</v>
      </c>
      <c r="Q41" s="85">
        <v>2</v>
      </c>
      <c r="R41" s="85">
        <v>2</v>
      </c>
      <c r="S41" s="85">
        <v>2</v>
      </c>
      <c r="T41" s="85">
        <f>SUM(P41:S41)</f>
        <v>8</v>
      </c>
      <c r="U41" s="86" t="s">
        <v>294</v>
      </c>
      <c r="V41" s="87"/>
      <c r="W41" s="88" t="s">
        <v>295</v>
      </c>
      <c r="X41" s="89" t="s">
        <v>296</v>
      </c>
      <c r="Y41" s="90"/>
      <c r="Z41" s="90"/>
      <c r="AA41" s="115">
        <f>+'[5]Gastos por fuentes 2024'!D113-68493347</f>
        <v>141663933</v>
      </c>
      <c r="AB41" s="115"/>
      <c r="AC41" s="115"/>
      <c r="AD41" s="115">
        <f>SUM(AA41:AC41)</f>
        <v>141663933</v>
      </c>
      <c r="AE41" s="115">
        <f>+EVEN(AA41*3%+AA41)</f>
        <v>145913852</v>
      </c>
      <c r="AF41" s="115"/>
      <c r="AG41" s="115"/>
      <c r="AH41" s="115">
        <f>SUM(AE41:AG41)</f>
        <v>145913852</v>
      </c>
      <c r="AI41" s="115">
        <f>+EVEN(AE41*10%+AE41)</f>
        <v>160505238</v>
      </c>
      <c r="AJ41" s="115"/>
      <c r="AK41" s="115"/>
      <c r="AL41" s="115">
        <f>SUM(AI41:AK41)</f>
        <v>160505238</v>
      </c>
      <c r="AM41" s="115">
        <f>+EVEN(AI41*10%+AI41)</f>
        <v>176555762</v>
      </c>
      <c r="AN41" s="115"/>
      <c r="AO41" s="115"/>
      <c r="AP41" s="116">
        <f>SUM(AM41:AO41)</f>
        <v>176555762</v>
      </c>
      <c r="AQ41" s="115">
        <f t="shared" si="15"/>
        <v>624638785</v>
      </c>
      <c r="AR41" s="115">
        <f t="shared" si="15"/>
        <v>0</v>
      </c>
      <c r="AS41" s="115">
        <f t="shared" si="15"/>
        <v>0</v>
      </c>
      <c r="AT41" s="115">
        <f t="shared" si="16"/>
        <v>624638785</v>
      </c>
      <c r="AU41" s="115" t="s">
        <v>61</v>
      </c>
      <c r="AV41" s="83" t="s">
        <v>85</v>
      </c>
      <c r="AW41" s="83" t="s">
        <v>85</v>
      </c>
      <c r="AX41" s="117" t="s">
        <v>64</v>
      </c>
      <c r="AY41" s="117" t="s">
        <v>65</v>
      </c>
      <c r="AZ41" s="117" t="s">
        <v>297</v>
      </c>
      <c r="BA41" s="117"/>
      <c r="BB41" s="93" t="s">
        <v>68</v>
      </c>
      <c r="BC41" s="93" t="s">
        <v>107</v>
      </c>
      <c r="BD41" s="93" t="s">
        <v>70</v>
      </c>
    </row>
    <row r="42" spans="1:56" s="69" customFormat="1" ht="111.6" x14ac:dyDescent="0.2">
      <c r="A42" s="246"/>
      <c r="B42" s="246"/>
      <c r="C42" s="248"/>
      <c r="D42" s="249"/>
      <c r="E42" s="255"/>
      <c r="F42" s="256"/>
      <c r="G42" s="255"/>
      <c r="H42" s="110" t="s">
        <v>298</v>
      </c>
      <c r="I42" s="98" t="s">
        <v>299</v>
      </c>
      <c r="J42" s="99">
        <f>+[5]Pond!AF46</f>
        <v>7</v>
      </c>
      <c r="K42" s="83" t="s">
        <v>300</v>
      </c>
      <c r="L42" s="84">
        <v>100</v>
      </c>
      <c r="M42" s="83" t="s">
        <v>301</v>
      </c>
      <c r="N42" s="83" t="s">
        <v>57</v>
      </c>
      <c r="O42" s="83" t="s">
        <v>104</v>
      </c>
      <c r="P42" s="85">
        <v>1</v>
      </c>
      <c r="Q42" s="85">
        <v>1</v>
      </c>
      <c r="R42" s="85">
        <v>1</v>
      </c>
      <c r="S42" s="85">
        <v>1</v>
      </c>
      <c r="T42" s="85">
        <f>SUM(P42:S42)</f>
        <v>4</v>
      </c>
      <c r="V42" s="87" t="s">
        <v>302</v>
      </c>
      <c r="W42" s="88"/>
      <c r="X42" s="89"/>
      <c r="Y42" s="90"/>
      <c r="Z42" s="90"/>
      <c r="AA42" s="115">
        <v>68493347</v>
      </c>
      <c r="AB42" s="115"/>
      <c r="AC42" s="115"/>
      <c r="AD42" s="115">
        <f>SUM(AA42:AC42)</f>
        <v>68493347</v>
      </c>
      <c r="AE42" s="115">
        <f>+EVEN(AA42*3%+AA42)</f>
        <v>70548148</v>
      </c>
      <c r="AF42" s="125"/>
      <c r="AG42" s="125"/>
      <c r="AH42" s="115">
        <f>SUM(AE42:AG42)</f>
        <v>70548148</v>
      </c>
      <c r="AI42" s="127">
        <f>+EVEN(AE42*10%+AE42)-2</f>
        <v>77602962</v>
      </c>
      <c r="AJ42" s="125"/>
      <c r="AK42" s="125"/>
      <c r="AL42" s="115">
        <f>SUM(AI42:AK42)</f>
        <v>77602962</v>
      </c>
      <c r="AM42" s="115">
        <f>+EVEN(AI42*10%+AI42)-2</f>
        <v>85363258</v>
      </c>
      <c r="AN42" s="125"/>
      <c r="AO42" s="125"/>
      <c r="AP42" s="128">
        <f>SUM(AM42:AO42)</f>
        <v>85363258</v>
      </c>
      <c r="AQ42" s="115">
        <f t="shared" si="15"/>
        <v>302007715</v>
      </c>
      <c r="AR42" s="125">
        <f t="shared" si="15"/>
        <v>0</v>
      </c>
      <c r="AS42" s="125">
        <f t="shared" si="15"/>
        <v>0</v>
      </c>
      <c r="AT42" s="125">
        <f t="shared" si="16"/>
        <v>302007715</v>
      </c>
      <c r="AU42" s="125" t="s">
        <v>61</v>
      </c>
      <c r="AV42" s="86" t="s">
        <v>85</v>
      </c>
      <c r="AW42" s="83" t="s">
        <v>85</v>
      </c>
      <c r="AX42" s="117" t="s">
        <v>64</v>
      </c>
      <c r="AY42" s="129" t="s">
        <v>65</v>
      </c>
      <c r="AZ42" s="129" t="s">
        <v>297</v>
      </c>
      <c r="BA42" s="129"/>
      <c r="BB42" s="93" t="s">
        <v>130</v>
      </c>
      <c r="BC42" s="93" t="s">
        <v>131</v>
      </c>
      <c r="BD42" s="93" t="s">
        <v>266</v>
      </c>
    </row>
    <row r="43" spans="1:56" s="69" customFormat="1" ht="87" x14ac:dyDescent="0.2">
      <c r="A43" s="246"/>
      <c r="B43" s="246"/>
      <c r="C43" s="248"/>
      <c r="D43" s="249"/>
      <c r="E43" s="110" t="s">
        <v>303</v>
      </c>
      <c r="F43" s="114">
        <f>+[5]Pond!AF47</f>
        <v>2</v>
      </c>
      <c r="G43" s="110" t="s">
        <v>52</v>
      </c>
      <c r="H43" s="110" t="s">
        <v>304</v>
      </c>
      <c r="I43" s="98" t="s">
        <v>305</v>
      </c>
      <c r="J43" s="99">
        <f>+[5]Pond!AF48</f>
        <v>100</v>
      </c>
      <c r="K43" s="94" t="s">
        <v>306</v>
      </c>
      <c r="L43" s="108">
        <v>100</v>
      </c>
      <c r="M43" s="94" t="s">
        <v>271</v>
      </c>
      <c r="N43" s="83" t="s">
        <v>119</v>
      </c>
      <c r="O43" s="83" t="s">
        <v>73</v>
      </c>
      <c r="P43" s="85">
        <v>100</v>
      </c>
      <c r="Q43" s="85">
        <v>100</v>
      </c>
      <c r="R43" s="85">
        <v>100</v>
      </c>
      <c r="S43" s="85">
        <v>100</v>
      </c>
      <c r="T43" s="85">
        <v>100</v>
      </c>
      <c r="U43" s="86" t="s">
        <v>307</v>
      </c>
      <c r="V43" s="87"/>
      <c r="W43" s="88"/>
      <c r="X43" s="89"/>
      <c r="Y43" s="90"/>
      <c r="Z43" s="90"/>
      <c r="AA43" s="115">
        <f>+'[5]Gastos por fuentes 2024'!D116</f>
        <v>255200000</v>
      </c>
      <c r="AB43" s="115"/>
      <c r="AC43" s="115"/>
      <c r="AD43" s="115">
        <f>SUM(AA43:AC43)</f>
        <v>255200000</v>
      </c>
      <c r="AE43" s="115">
        <f>ROUND(+'[5]TSE 2024 '!I5,0)</f>
        <v>277600000</v>
      </c>
      <c r="AF43" s="125"/>
      <c r="AG43" s="125"/>
      <c r="AH43" s="115">
        <f>SUM(AE43:AG43)</f>
        <v>277600000</v>
      </c>
      <c r="AI43" s="115">
        <f>ROUND(+'[5]TSE 2024 '!L5,0)</f>
        <v>310912000</v>
      </c>
      <c r="AJ43" s="125"/>
      <c r="AK43" s="125"/>
      <c r="AL43" s="115">
        <f>SUM(AI43:AK43)</f>
        <v>310912000</v>
      </c>
      <c r="AM43" s="115">
        <f>ROUND(+'[5]TSE 2024 '!O5,0)</f>
        <v>348221440</v>
      </c>
      <c r="AN43" s="125"/>
      <c r="AO43" s="125"/>
      <c r="AP43" s="128">
        <f>SUM(AM43:AO43)</f>
        <v>348221440</v>
      </c>
      <c r="AQ43" s="115">
        <f t="shared" si="15"/>
        <v>1191933440</v>
      </c>
      <c r="AR43" s="125">
        <f t="shared" si="15"/>
        <v>0</v>
      </c>
      <c r="AS43" s="125">
        <f t="shared" si="15"/>
        <v>0</v>
      </c>
      <c r="AT43" s="115">
        <f t="shared" si="16"/>
        <v>1191933440</v>
      </c>
      <c r="AU43" s="115" t="s">
        <v>61</v>
      </c>
      <c r="AV43" s="83" t="s">
        <v>125</v>
      </c>
      <c r="AW43" s="83" t="s">
        <v>126</v>
      </c>
      <c r="AX43" s="117" t="s">
        <v>64</v>
      </c>
      <c r="AY43" s="117" t="s">
        <v>127</v>
      </c>
      <c r="AZ43" s="117" t="s">
        <v>128</v>
      </c>
      <c r="BA43" s="117"/>
      <c r="BB43" s="93" t="s">
        <v>130</v>
      </c>
      <c r="BC43" s="93" t="s">
        <v>131</v>
      </c>
      <c r="BD43" s="93" t="s">
        <v>132</v>
      </c>
    </row>
    <row r="44" spans="1:56" s="69" customFormat="1" ht="67.2" x14ac:dyDescent="0.2">
      <c r="A44" s="246"/>
      <c r="B44" s="246"/>
      <c r="C44" s="248"/>
      <c r="D44" s="249"/>
      <c r="E44" s="255" t="s">
        <v>308</v>
      </c>
      <c r="F44" s="256">
        <f>+[5]Pond!AF49</f>
        <v>20</v>
      </c>
      <c r="G44" s="255" t="s">
        <v>52</v>
      </c>
      <c r="H44" s="255" t="s">
        <v>309</v>
      </c>
      <c r="I44" s="98" t="s">
        <v>310</v>
      </c>
      <c r="J44" s="99">
        <f>+[5]Pond!AF50</f>
        <v>70</v>
      </c>
      <c r="K44" s="83" t="s">
        <v>311</v>
      </c>
      <c r="L44" s="84">
        <v>100</v>
      </c>
      <c r="M44" s="94" t="s">
        <v>312</v>
      </c>
      <c r="N44" s="94" t="s">
        <v>57</v>
      </c>
      <c r="O44" s="94" t="s">
        <v>81</v>
      </c>
      <c r="P44" s="85">
        <v>100</v>
      </c>
      <c r="Q44" s="85">
        <v>100</v>
      </c>
      <c r="R44" s="85">
        <v>100</v>
      </c>
      <c r="S44" s="85">
        <v>100</v>
      </c>
      <c r="T44" s="85">
        <v>100</v>
      </c>
      <c r="U44" s="86" t="s">
        <v>313</v>
      </c>
      <c r="V44" s="87"/>
      <c r="W44" s="90"/>
      <c r="X44" s="90"/>
      <c r="Y44" s="90"/>
      <c r="Z44" s="90"/>
      <c r="AA44" s="297">
        <f>+'[5]Gastos por fuentes 2024'!D119</f>
        <v>552947180</v>
      </c>
      <c r="AB44" s="262"/>
      <c r="AC44" s="262"/>
      <c r="AD44" s="262">
        <f>SUM(AA44:AC44)</f>
        <v>552947180</v>
      </c>
      <c r="AE44" s="262">
        <f>+EVEN(AA44*3%+AA44)</f>
        <v>569535596</v>
      </c>
      <c r="AF44" s="262"/>
      <c r="AG44" s="262"/>
      <c r="AH44" s="262">
        <f>SUM(AE44:AG44)</f>
        <v>569535596</v>
      </c>
      <c r="AI44" s="237">
        <f>+EVEN(AE44*10%+AE44)</f>
        <v>626489156</v>
      </c>
      <c r="AJ44" s="262"/>
      <c r="AK44" s="262"/>
      <c r="AL44" s="262">
        <f>SUM(AI44:AK44)</f>
        <v>626489156</v>
      </c>
      <c r="AM44" s="237">
        <f>+EVEN(AI44*10%+AI44)</f>
        <v>689138072</v>
      </c>
      <c r="AN44" s="262"/>
      <c r="AO44" s="262"/>
      <c r="AP44" s="271">
        <f>SUM(AM44:AO44)</f>
        <v>689138072</v>
      </c>
      <c r="AQ44" s="237">
        <f t="shared" si="15"/>
        <v>2438110004</v>
      </c>
      <c r="AR44" s="262">
        <f t="shared" si="15"/>
        <v>0</v>
      </c>
      <c r="AS44" s="262">
        <f t="shared" si="15"/>
        <v>0</v>
      </c>
      <c r="AT44" s="262">
        <f t="shared" si="16"/>
        <v>2438110004</v>
      </c>
      <c r="AU44" s="130" t="s">
        <v>61</v>
      </c>
      <c r="AV44" s="126" t="s">
        <v>196</v>
      </c>
      <c r="AW44" s="83" t="s">
        <v>197</v>
      </c>
      <c r="AX44" s="117" t="s">
        <v>64</v>
      </c>
      <c r="AY44" s="96" t="s">
        <v>65</v>
      </c>
      <c r="AZ44" s="96" t="s">
        <v>128</v>
      </c>
      <c r="BA44" s="300"/>
      <c r="BB44" s="93" t="s">
        <v>130</v>
      </c>
      <c r="BC44" s="93" t="s">
        <v>131</v>
      </c>
      <c r="BD44" s="93" t="s">
        <v>132</v>
      </c>
    </row>
    <row r="45" spans="1:56" s="69" customFormat="1" ht="38.4" x14ac:dyDescent="0.2">
      <c r="A45" s="246"/>
      <c r="B45" s="246"/>
      <c r="C45" s="248"/>
      <c r="D45" s="249"/>
      <c r="E45" s="255"/>
      <c r="F45" s="256"/>
      <c r="G45" s="255"/>
      <c r="H45" s="255"/>
      <c r="I45" s="98" t="s">
        <v>314</v>
      </c>
      <c r="J45" s="99">
        <f>+[5]Pond!AF51</f>
        <v>30</v>
      </c>
      <c r="K45" s="83" t="s">
        <v>315</v>
      </c>
      <c r="L45" s="84">
        <v>100</v>
      </c>
      <c r="M45" s="94" t="s">
        <v>316</v>
      </c>
      <c r="N45" s="94" t="s">
        <v>57</v>
      </c>
      <c r="O45" s="94" t="s">
        <v>81</v>
      </c>
      <c r="P45" s="85">
        <v>100</v>
      </c>
      <c r="Q45" s="85">
        <v>100</v>
      </c>
      <c r="R45" s="85">
        <v>100</v>
      </c>
      <c r="S45" s="85">
        <v>100</v>
      </c>
      <c r="T45" s="85">
        <v>100</v>
      </c>
      <c r="U45" s="86" t="s">
        <v>317</v>
      </c>
      <c r="V45" s="87"/>
      <c r="W45" s="90"/>
      <c r="X45" s="90"/>
      <c r="Y45" s="90"/>
      <c r="Z45" s="90"/>
      <c r="AA45" s="297"/>
      <c r="AB45" s="262"/>
      <c r="AC45" s="262"/>
      <c r="AD45" s="262"/>
      <c r="AE45" s="262"/>
      <c r="AF45" s="262"/>
      <c r="AG45" s="262"/>
      <c r="AH45" s="262"/>
      <c r="AI45" s="237">
        <f>+EVEN(AE45*6%+AE45)</f>
        <v>0</v>
      </c>
      <c r="AJ45" s="262"/>
      <c r="AK45" s="262"/>
      <c r="AL45" s="262"/>
      <c r="AM45" s="237">
        <f>+EVEN(AI45*6%+AI45)</f>
        <v>0</v>
      </c>
      <c r="AN45" s="262"/>
      <c r="AO45" s="262"/>
      <c r="AP45" s="271"/>
      <c r="AQ45" s="237">
        <f t="shared" si="15"/>
        <v>0</v>
      </c>
      <c r="AR45" s="262">
        <f t="shared" si="15"/>
        <v>0</v>
      </c>
      <c r="AS45" s="262">
        <f t="shared" si="15"/>
        <v>0</v>
      </c>
      <c r="AT45" s="262">
        <f t="shared" si="16"/>
        <v>0</v>
      </c>
      <c r="AU45" s="130" t="s">
        <v>61</v>
      </c>
      <c r="AV45" s="126" t="s">
        <v>196</v>
      </c>
      <c r="AW45" s="83" t="s">
        <v>197</v>
      </c>
      <c r="AX45" s="96" t="s">
        <v>209</v>
      </c>
      <c r="AY45" s="96" t="s">
        <v>65</v>
      </c>
      <c r="AZ45" s="96" t="s">
        <v>297</v>
      </c>
      <c r="BA45" s="300"/>
      <c r="BB45" s="93" t="s">
        <v>68</v>
      </c>
      <c r="BC45" s="93" t="s">
        <v>318</v>
      </c>
      <c r="BD45" s="93" t="s">
        <v>70</v>
      </c>
    </row>
    <row r="46" spans="1:56" s="69" customFormat="1" ht="38.4" x14ac:dyDescent="0.2">
      <c r="A46" s="246"/>
      <c r="B46" s="246"/>
      <c r="C46" s="248" t="s">
        <v>319</v>
      </c>
      <c r="D46" s="249">
        <v>27</v>
      </c>
      <c r="E46" s="255" t="s">
        <v>320</v>
      </c>
      <c r="F46" s="256">
        <f>+[5]Pond!AF53</f>
        <v>33</v>
      </c>
      <c r="G46" s="255" t="s">
        <v>321</v>
      </c>
      <c r="H46" s="255" t="s">
        <v>322</v>
      </c>
      <c r="I46" s="86" t="s">
        <v>323</v>
      </c>
      <c r="J46" s="85">
        <f>+[5]Pond!AF54</f>
        <v>56</v>
      </c>
      <c r="K46" s="83" t="s">
        <v>324</v>
      </c>
      <c r="L46" s="84">
        <v>100</v>
      </c>
      <c r="M46" s="94" t="s">
        <v>325</v>
      </c>
      <c r="N46" s="94" t="s">
        <v>326</v>
      </c>
      <c r="O46" s="94" t="s">
        <v>73</v>
      </c>
      <c r="P46" s="85">
        <v>100</v>
      </c>
      <c r="Q46" s="85">
        <v>100</v>
      </c>
      <c r="R46" s="85">
        <v>100</v>
      </c>
      <c r="S46" s="85">
        <v>100</v>
      </c>
      <c r="T46" s="85">
        <v>100</v>
      </c>
      <c r="U46" s="86" t="s">
        <v>327</v>
      </c>
      <c r="V46" s="94" t="str">
        <f>+M46</f>
        <v>Porcentaje de avance en la  formulación y/o ajuste de los Planes de ordenación y Manejo de Cuencas (POMCAS) (IMG Res.667/16)</v>
      </c>
      <c r="W46" s="88" t="s">
        <v>328</v>
      </c>
      <c r="X46" s="89" t="s">
        <v>329</v>
      </c>
      <c r="Y46" s="88" t="s">
        <v>330</v>
      </c>
      <c r="Z46" s="88" t="s">
        <v>331</v>
      </c>
      <c r="AA46" s="130">
        <f>+'[5]Gastos por fuentes 2024'!D124</f>
        <v>345348390</v>
      </c>
      <c r="AB46" s="130"/>
      <c r="AC46" s="130"/>
      <c r="AD46" s="130">
        <f>SUM(AA46:AC46)</f>
        <v>345348390</v>
      </c>
      <c r="AE46" s="130">
        <f>+EVEN(AA46*3%+AA46)</f>
        <v>355708842</v>
      </c>
      <c r="AF46" s="130"/>
      <c r="AG46" s="130"/>
      <c r="AH46" s="130">
        <f>SUM(AE46:AG46)</f>
        <v>355708842</v>
      </c>
      <c r="AI46" s="115">
        <f>+EVEN(AE46*10%+AE46)+50000000</f>
        <v>441279728</v>
      </c>
      <c r="AJ46" s="115">
        <v>950000000</v>
      </c>
      <c r="AK46" s="130"/>
      <c r="AL46" s="130">
        <f>SUM(AI46:AK46)</f>
        <v>1391279728</v>
      </c>
      <c r="AM46" s="115">
        <f>+EVEN(AI46*10%+AI46)</f>
        <v>485407702</v>
      </c>
      <c r="AN46" s="130">
        <v>1450000000</v>
      </c>
      <c r="AO46" s="130"/>
      <c r="AP46" s="131">
        <f>SUM(AM46:AO46)</f>
        <v>1935407702</v>
      </c>
      <c r="AQ46" s="115">
        <f t="shared" si="15"/>
        <v>1627744662</v>
      </c>
      <c r="AR46" s="130">
        <f t="shared" si="15"/>
        <v>2400000000</v>
      </c>
      <c r="AS46" s="130">
        <f t="shared" si="15"/>
        <v>0</v>
      </c>
      <c r="AT46" s="130">
        <f t="shared" si="16"/>
        <v>4027744662</v>
      </c>
      <c r="AU46" s="130" t="s">
        <v>61</v>
      </c>
      <c r="AV46" s="83" t="s">
        <v>332</v>
      </c>
      <c r="AW46" s="104" t="s">
        <v>333</v>
      </c>
      <c r="AX46" s="96" t="s">
        <v>151</v>
      </c>
      <c r="AY46" s="96" t="s">
        <v>127</v>
      </c>
      <c r="AZ46" s="96" t="s">
        <v>213</v>
      </c>
      <c r="BA46" s="96"/>
      <c r="BB46" s="93" t="s">
        <v>68</v>
      </c>
      <c r="BC46" s="93" t="s">
        <v>152</v>
      </c>
      <c r="BD46" s="93" t="s">
        <v>70</v>
      </c>
    </row>
    <row r="47" spans="1:56" s="69" customFormat="1" ht="38.4" x14ac:dyDescent="0.2">
      <c r="A47" s="246"/>
      <c r="B47" s="246"/>
      <c r="C47" s="248"/>
      <c r="D47" s="249"/>
      <c r="E47" s="255"/>
      <c r="F47" s="256"/>
      <c r="G47" s="255"/>
      <c r="H47" s="255"/>
      <c r="I47" s="98" t="s">
        <v>334</v>
      </c>
      <c r="J47" s="99">
        <f>+[5]Pond!AF55</f>
        <v>44</v>
      </c>
      <c r="K47" s="83" t="s">
        <v>335</v>
      </c>
      <c r="L47" s="84">
        <v>100</v>
      </c>
      <c r="M47" s="83" t="s">
        <v>336</v>
      </c>
      <c r="N47" s="83" t="s">
        <v>57</v>
      </c>
      <c r="O47" s="119" t="s">
        <v>337</v>
      </c>
      <c r="P47" s="97">
        <v>1</v>
      </c>
      <c r="Q47" s="97">
        <v>1</v>
      </c>
      <c r="R47" s="97">
        <v>1</v>
      </c>
      <c r="S47" s="97">
        <v>1</v>
      </c>
      <c r="T47" s="85">
        <f>SUM(P47:S47)</f>
        <v>4</v>
      </c>
      <c r="U47" s="86" t="s">
        <v>338</v>
      </c>
      <c r="V47" s="87"/>
      <c r="W47" s="90"/>
      <c r="X47" s="90"/>
      <c r="Y47" s="90"/>
      <c r="Z47" s="90"/>
      <c r="AA47" s="130">
        <f>+'[5]Gastos por fuentes 2024'!D125</f>
        <v>483192570</v>
      </c>
      <c r="AB47" s="130"/>
      <c r="AC47" s="130"/>
      <c r="AD47" s="130">
        <f>SUM(AA47:AC47)</f>
        <v>483192570</v>
      </c>
      <c r="AE47" s="130">
        <f>+EVEN(AA47*3%+AA47)</f>
        <v>497688348</v>
      </c>
      <c r="AF47" s="130"/>
      <c r="AG47" s="130"/>
      <c r="AH47" s="130">
        <f>SUM(AE47:AG47)</f>
        <v>497688348</v>
      </c>
      <c r="AI47" s="115">
        <f>+EVEN(AE47*10%+AE47)</f>
        <v>547457184</v>
      </c>
      <c r="AJ47" s="130"/>
      <c r="AK47" s="130"/>
      <c r="AL47" s="130">
        <f>SUM(AI47:AK47)</f>
        <v>547457184</v>
      </c>
      <c r="AM47" s="115">
        <f>+EVEN(AI47*10%+AI47)</f>
        <v>602202904</v>
      </c>
      <c r="AN47" s="130"/>
      <c r="AO47" s="130"/>
      <c r="AP47" s="131">
        <f>SUM(AM47:AO47)</f>
        <v>602202904</v>
      </c>
      <c r="AQ47" s="115">
        <f t="shared" si="15"/>
        <v>2130541006</v>
      </c>
      <c r="AR47" s="130">
        <f t="shared" si="15"/>
        <v>0</v>
      </c>
      <c r="AS47" s="130">
        <f t="shared" si="15"/>
        <v>0</v>
      </c>
      <c r="AT47" s="130">
        <f t="shared" si="16"/>
        <v>2130541006</v>
      </c>
      <c r="AU47" s="130" t="s">
        <v>61</v>
      </c>
      <c r="AV47" s="83" t="s">
        <v>339</v>
      </c>
      <c r="AW47" s="104" t="s">
        <v>340</v>
      </c>
      <c r="AX47" s="96" t="s">
        <v>151</v>
      </c>
      <c r="AY47" s="96" t="s">
        <v>127</v>
      </c>
      <c r="AZ47" s="96" t="s">
        <v>213</v>
      </c>
      <c r="BA47" s="96"/>
      <c r="BB47" s="93" t="s">
        <v>68</v>
      </c>
      <c r="BC47" s="93" t="s">
        <v>152</v>
      </c>
      <c r="BD47" s="93" t="s">
        <v>70</v>
      </c>
    </row>
    <row r="48" spans="1:56" s="69" customFormat="1" ht="28.8" x14ac:dyDescent="0.2">
      <c r="A48" s="246"/>
      <c r="B48" s="246"/>
      <c r="C48" s="248"/>
      <c r="D48" s="249"/>
      <c r="E48" s="239" t="s">
        <v>341</v>
      </c>
      <c r="F48" s="250">
        <f>+[5]Pond!AF56</f>
        <v>33</v>
      </c>
      <c r="G48" s="239" t="s">
        <v>321</v>
      </c>
      <c r="H48" s="239" t="s">
        <v>342</v>
      </c>
      <c r="I48" s="235" t="s">
        <v>343</v>
      </c>
      <c r="J48" s="236">
        <f>+[5]Pond!AF57</f>
        <v>21</v>
      </c>
      <c r="K48" s="104" t="s">
        <v>344</v>
      </c>
      <c r="L48" s="132">
        <v>25</v>
      </c>
      <c r="M48" s="94" t="s">
        <v>345</v>
      </c>
      <c r="N48" s="94" t="s">
        <v>57</v>
      </c>
      <c r="O48" s="94" t="s">
        <v>58</v>
      </c>
      <c r="P48" s="85">
        <v>1</v>
      </c>
      <c r="Q48" s="85">
        <v>0</v>
      </c>
      <c r="R48" s="85">
        <v>0</v>
      </c>
      <c r="S48" s="85">
        <v>0</v>
      </c>
      <c r="T48" s="85">
        <v>1</v>
      </c>
      <c r="U48" s="86"/>
      <c r="V48" s="87"/>
      <c r="W48" s="90"/>
      <c r="X48" s="90"/>
      <c r="Y48" s="90"/>
      <c r="Z48" s="90"/>
      <c r="AA48" s="237">
        <f>+'[5]Gastos por fuentes 2024'!D127</f>
        <v>563388800</v>
      </c>
      <c r="AB48" s="115"/>
      <c r="AC48" s="115"/>
      <c r="AD48" s="237">
        <f>SUM(AA48:AC48)</f>
        <v>563388800</v>
      </c>
      <c r="AE48" s="237">
        <f>ROUND(+'[5]TASA RETRIBUTIVA 2024'!T5,)</f>
        <v>577923507</v>
      </c>
      <c r="AF48" s="237"/>
      <c r="AG48" s="237"/>
      <c r="AH48" s="237">
        <f>SUM(AE48:AG48)</f>
        <v>577923507</v>
      </c>
      <c r="AI48" s="237">
        <f>ROUND(+'[5]TASA RETRIBUTIVA 2024'!Y5,0)</f>
        <v>647274328</v>
      </c>
      <c r="AJ48" s="237"/>
      <c r="AK48" s="237"/>
      <c r="AL48" s="237">
        <f>SUM(AI48:AK48)</f>
        <v>647274328</v>
      </c>
      <c r="AM48" s="237">
        <f>+'[5]TASA RETRIBUTIVA 2024'!AD5</f>
        <v>724947247</v>
      </c>
      <c r="AN48" s="237"/>
      <c r="AO48" s="237"/>
      <c r="AP48" s="238">
        <f>SUM(AM48:AO48)</f>
        <v>724947247</v>
      </c>
      <c r="AQ48" s="237">
        <f t="shared" si="15"/>
        <v>2513533882</v>
      </c>
      <c r="AR48" s="237">
        <f t="shared" si="15"/>
        <v>0</v>
      </c>
      <c r="AS48" s="237">
        <f t="shared" si="15"/>
        <v>0</v>
      </c>
      <c r="AT48" s="237">
        <f t="shared" si="16"/>
        <v>2513533882</v>
      </c>
      <c r="AU48" s="115" t="s">
        <v>61</v>
      </c>
      <c r="AV48" s="104" t="s">
        <v>332</v>
      </c>
      <c r="AW48" s="104" t="s">
        <v>346</v>
      </c>
      <c r="AX48" s="96" t="s">
        <v>151</v>
      </c>
      <c r="AY48" s="117" t="s">
        <v>127</v>
      </c>
      <c r="AZ48" s="117" t="s">
        <v>213</v>
      </c>
      <c r="BA48" s="234"/>
      <c r="BB48" s="93" t="s">
        <v>68</v>
      </c>
      <c r="BC48" s="93" t="s">
        <v>69</v>
      </c>
      <c r="BD48" s="93" t="s">
        <v>70</v>
      </c>
    </row>
    <row r="49" spans="1:56" s="69" customFormat="1" ht="28.8" x14ac:dyDescent="0.2">
      <c r="A49" s="246"/>
      <c r="B49" s="246"/>
      <c r="C49" s="248"/>
      <c r="D49" s="249"/>
      <c r="E49" s="239"/>
      <c r="F49" s="250"/>
      <c r="G49" s="239"/>
      <c r="H49" s="239"/>
      <c r="I49" s="235"/>
      <c r="J49" s="236"/>
      <c r="K49" s="104" t="s">
        <v>347</v>
      </c>
      <c r="L49" s="132">
        <v>25</v>
      </c>
      <c r="M49" s="94" t="s">
        <v>348</v>
      </c>
      <c r="N49" s="94" t="s">
        <v>209</v>
      </c>
      <c r="O49" s="94" t="s">
        <v>73</v>
      </c>
      <c r="P49" s="85">
        <v>100</v>
      </c>
      <c r="Q49" s="85">
        <v>100</v>
      </c>
      <c r="R49" s="85">
        <v>100</v>
      </c>
      <c r="S49" s="85">
        <v>100</v>
      </c>
      <c r="T49" s="85">
        <v>100</v>
      </c>
      <c r="U49" s="133" t="s">
        <v>349</v>
      </c>
      <c r="V49" s="94" t="str">
        <f>+M49</f>
        <v>Porcentaje de cuerpos de agua con planes de ordenamiento del recurso hídrico (PORH) adoptados (IMG Res.667/16)</v>
      </c>
      <c r="W49" s="90"/>
      <c r="X49" s="90"/>
      <c r="Y49" s="90"/>
      <c r="Z49" s="90"/>
      <c r="AA49" s="237"/>
      <c r="AB49" s="115"/>
      <c r="AC49" s="115"/>
      <c r="AD49" s="237"/>
      <c r="AE49" s="237"/>
      <c r="AF49" s="237"/>
      <c r="AG49" s="237"/>
      <c r="AH49" s="237"/>
      <c r="AI49" s="237">
        <f>+EVEN(AE49*6%+AE49)</f>
        <v>0</v>
      </c>
      <c r="AJ49" s="237"/>
      <c r="AK49" s="237"/>
      <c r="AL49" s="237"/>
      <c r="AM49" s="237">
        <f>+EVEN(AI49*6%+AI49)</f>
        <v>0</v>
      </c>
      <c r="AN49" s="237"/>
      <c r="AO49" s="237"/>
      <c r="AP49" s="238"/>
      <c r="AQ49" s="237">
        <f t="shared" si="15"/>
        <v>0</v>
      </c>
      <c r="AR49" s="237">
        <f t="shared" si="15"/>
        <v>0</v>
      </c>
      <c r="AS49" s="237">
        <f t="shared" si="15"/>
        <v>0</v>
      </c>
      <c r="AT49" s="237">
        <f t="shared" si="16"/>
        <v>0</v>
      </c>
      <c r="AU49" s="115" t="s">
        <v>61</v>
      </c>
      <c r="AV49" s="104" t="s">
        <v>332</v>
      </c>
      <c r="AW49" s="104" t="s">
        <v>350</v>
      </c>
      <c r="AX49" s="96" t="s">
        <v>151</v>
      </c>
      <c r="AY49" s="117" t="s">
        <v>127</v>
      </c>
      <c r="AZ49" s="117" t="s">
        <v>213</v>
      </c>
      <c r="BA49" s="234"/>
      <c r="BB49" s="93" t="s">
        <v>68</v>
      </c>
      <c r="BC49" s="93" t="s">
        <v>77</v>
      </c>
      <c r="BD49" s="93" t="s">
        <v>70</v>
      </c>
    </row>
    <row r="50" spans="1:56" s="69" customFormat="1" ht="38.4" x14ac:dyDescent="0.2">
      <c r="A50" s="246"/>
      <c r="B50" s="246"/>
      <c r="C50" s="248"/>
      <c r="D50" s="249"/>
      <c r="E50" s="239"/>
      <c r="F50" s="250"/>
      <c r="G50" s="239"/>
      <c r="H50" s="239"/>
      <c r="I50" s="235"/>
      <c r="J50" s="236"/>
      <c r="K50" s="104" t="s">
        <v>351</v>
      </c>
      <c r="L50" s="132">
        <v>25</v>
      </c>
      <c r="M50" s="94" t="s">
        <v>352</v>
      </c>
      <c r="N50" s="94" t="s">
        <v>57</v>
      </c>
      <c r="O50" s="94" t="s">
        <v>58</v>
      </c>
      <c r="P50" s="85">
        <v>1</v>
      </c>
      <c r="Q50" s="85">
        <v>1</v>
      </c>
      <c r="R50" s="85">
        <v>1</v>
      </c>
      <c r="S50" s="85">
        <v>1</v>
      </c>
      <c r="T50" s="85">
        <v>1</v>
      </c>
      <c r="U50" s="86"/>
      <c r="V50" s="87"/>
      <c r="W50" s="90"/>
      <c r="X50" s="90"/>
      <c r="Y50" s="90"/>
      <c r="Z50" s="90"/>
      <c r="AA50" s="237"/>
      <c r="AB50" s="115"/>
      <c r="AC50" s="115"/>
      <c r="AD50" s="237"/>
      <c r="AE50" s="237"/>
      <c r="AF50" s="237"/>
      <c r="AG50" s="237"/>
      <c r="AH50" s="237"/>
      <c r="AI50" s="237">
        <f>+EVEN(AE50*6%+AE50)</f>
        <v>0</v>
      </c>
      <c r="AJ50" s="237"/>
      <c r="AK50" s="237"/>
      <c r="AL50" s="237"/>
      <c r="AM50" s="237">
        <f>+EVEN(AI50*6%+AI50)</f>
        <v>0</v>
      </c>
      <c r="AN50" s="237"/>
      <c r="AO50" s="237"/>
      <c r="AP50" s="238"/>
      <c r="AQ50" s="237">
        <f t="shared" si="15"/>
        <v>0</v>
      </c>
      <c r="AR50" s="237">
        <f t="shared" si="15"/>
        <v>0</v>
      </c>
      <c r="AS50" s="237">
        <f t="shared" si="15"/>
        <v>0</v>
      </c>
      <c r="AT50" s="237">
        <f t="shared" si="16"/>
        <v>0</v>
      </c>
      <c r="AU50" s="115" t="s">
        <v>61</v>
      </c>
      <c r="AV50" s="104" t="s">
        <v>353</v>
      </c>
      <c r="AW50" s="104" t="s">
        <v>354</v>
      </c>
      <c r="AX50" s="96" t="s">
        <v>151</v>
      </c>
      <c r="AY50" s="117" t="s">
        <v>127</v>
      </c>
      <c r="AZ50" s="117" t="s">
        <v>213</v>
      </c>
      <c r="BA50" s="234"/>
      <c r="BB50" s="93" t="s">
        <v>68</v>
      </c>
      <c r="BC50" s="93" t="s">
        <v>77</v>
      </c>
      <c r="BD50" s="93" t="s">
        <v>70</v>
      </c>
    </row>
    <row r="51" spans="1:56" s="69" customFormat="1" ht="38.4" x14ac:dyDescent="0.2">
      <c r="A51" s="246"/>
      <c r="B51" s="246"/>
      <c r="C51" s="248"/>
      <c r="D51" s="249"/>
      <c r="E51" s="239"/>
      <c r="F51" s="250"/>
      <c r="G51" s="239"/>
      <c r="H51" s="239"/>
      <c r="I51" s="235"/>
      <c r="J51" s="236"/>
      <c r="K51" s="104" t="s">
        <v>355</v>
      </c>
      <c r="L51" s="132">
        <v>25</v>
      </c>
      <c r="M51" s="94" t="s">
        <v>356</v>
      </c>
      <c r="N51" s="94" t="s">
        <v>57</v>
      </c>
      <c r="O51" s="94" t="s">
        <v>81</v>
      </c>
      <c r="P51" s="85">
        <v>100</v>
      </c>
      <c r="Q51" s="85">
        <v>100</v>
      </c>
      <c r="R51" s="85">
        <v>100</v>
      </c>
      <c r="S51" s="85">
        <v>100</v>
      </c>
      <c r="T51" s="85">
        <v>100</v>
      </c>
      <c r="U51" s="86"/>
      <c r="V51" s="87"/>
      <c r="W51" s="90"/>
      <c r="X51" s="90"/>
      <c r="Y51" s="90"/>
      <c r="Z51" s="90"/>
      <c r="AA51" s="237"/>
      <c r="AB51" s="115"/>
      <c r="AC51" s="115"/>
      <c r="AD51" s="237"/>
      <c r="AE51" s="237"/>
      <c r="AF51" s="237"/>
      <c r="AG51" s="237"/>
      <c r="AH51" s="237"/>
      <c r="AI51" s="237"/>
      <c r="AJ51" s="237"/>
      <c r="AK51" s="237"/>
      <c r="AL51" s="237"/>
      <c r="AM51" s="237"/>
      <c r="AN51" s="237"/>
      <c r="AO51" s="237"/>
      <c r="AP51" s="238"/>
      <c r="AQ51" s="237"/>
      <c r="AR51" s="237"/>
      <c r="AS51" s="237"/>
      <c r="AT51" s="237"/>
      <c r="AU51" s="115" t="s">
        <v>61</v>
      </c>
      <c r="AV51" s="104" t="s">
        <v>357</v>
      </c>
      <c r="AW51" s="104" t="s">
        <v>358</v>
      </c>
      <c r="AX51" s="96" t="s">
        <v>151</v>
      </c>
      <c r="AY51" s="117" t="s">
        <v>65</v>
      </c>
      <c r="AZ51" s="117" t="s">
        <v>297</v>
      </c>
      <c r="BA51" s="234"/>
      <c r="BB51" s="93" t="s">
        <v>68</v>
      </c>
      <c r="BC51" s="93" t="s">
        <v>77</v>
      </c>
      <c r="BD51" s="93" t="s">
        <v>70</v>
      </c>
    </row>
    <row r="52" spans="1:56" s="69" customFormat="1" ht="70.8" x14ac:dyDescent="0.2">
      <c r="A52" s="246"/>
      <c r="B52" s="246"/>
      <c r="C52" s="248"/>
      <c r="D52" s="249"/>
      <c r="E52" s="239"/>
      <c r="F52" s="250"/>
      <c r="G52" s="239"/>
      <c r="H52" s="107" t="s">
        <v>359</v>
      </c>
      <c r="I52" s="104" t="s">
        <v>360</v>
      </c>
      <c r="J52" s="97">
        <f>+[5]Pond!AF58</f>
        <v>17</v>
      </c>
      <c r="K52" s="104" t="s">
        <v>361</v>
      </c>
      <c r="L52" s="132">
        <v>100</v>
      </c>
      <c r="M52" s="94" t="s">
        <v>362</v>
      </c>
      <c r="N52" s="94" t="s">
        <v>209</v>
      </c>
      <c r="O52" s="104" t="s">
        <v>73</v>
      </c>
      <c r="P52" s="85">
        <v>100</v>
      </c>
      <c r="Q52" s="85">
        <v>100</v>
      </c>
      <c r="R52" s="85">
        <v>100</v>
      </c>
      <c r="S52" s="85">
        <v>100</v>
      </c>
      <c r="T52" s="85">
        <v>100</v>
      </c>
      <c r="U52" s="86" t="s">
        <v>363</v>
      </c>
      <c r="V52" s="94" t="str">
        <f>+M52</f>
        <v>Porcentaje de cuerpos de agua con reglamentación del uso de las aguas (IMG Res.667/17)</v>
      </c>
      <c r="W52" s="90"/>
      <c r="X52" s="90"/>
      <c r="Y52" s="90"/>
      <c r="Z52" s="90"/>
      <c r="AA52" s="115">
        <f>+'[5]Gastos por fuentes 2024'!D131</f>
        <v>136737600</v>
      </c>
      <c r="AB52" s="115"/>
      <c r="AC52" s="115"/>
      <c r="AD52" s="115">
        <f t="shared" ref="AD52:AD54" si="17">SUM(AA52:AC52)</f>
        <v>136737600</v>
      </c>
      <c r="AE52" s="115">
        <f>ROUND(+'[5]TASA RETRIBUTIVA 2024'!T6,)</f>
        <v>140265254</v>
      </c>
      <c r="AF52" s="115"/>
      <c r="AG52" s="115"/>
      <c r="AH52" s="115">
        <f>SUM(AE52:AG52)</f>
        <v>140265254</v>
      </c>
      <c r="AI52" s="115">
        <f>ROUND(+'[5]TASA RETRIBUTIVA 2024'!Y6,0)</f>
        <v>157097085</v>
      </c>
      <c r="AJ52" s="115"/>
      <c r="AK52" s="115"/>
      <c r="AL52" s="115">
        <f>SUM(AI52:AK52)</f>
        <v>157097085</v>
      </c>
      <c r="AM52" s="115">
        <f>+'[5]TASA RETRIBUTIVA 2024'!AD6</f>
        <v>175948735</v>
      </c>
      <c r="AN52" s="115"/>
      <c r="AO52" s="115"/>
      <c r="AP52" s="116">
        <f>SUM(AM52:AO52)</f>
        <v>175948735</v>
      </c>
      <c r="AQ52" s="115">
        <f t="shared" ref="AQ52:AT67" si="18">+AA52+AE52+AI52+AM52</f>
        <v>610048674</v>
      </c>
      <c r="AR52" s="115">
        <f t="shared" si="18"/>
        <v>0</v>
      </c>
      <c r="AS52" s="115">
        <f t="shared" si="18"/>
        <v>0</v>
      </c>
      <c r="AT52" s="115">
        <f t="shared" si="18"/>
        <v>610048674</v>
      </c>
      <c r="AU52" s="115" t="s">
        <v>61</v>
      </c>
      <c r="AV52" s="104" t="s">
        <v>353</v>
      </c>
      <c r="AW52" s="104" t="s">
        <v>364</v>
      </c>
      <c r="AX52" s="96" t="s">
        <v>151</v>
      </c>
      <c r="AY52" s="117" t="s">
        <v>127</v>
      </c>
      <c r="AZ52" s="117" t="s">
        <v>213</v>
      </c>
      <c r="BA52" s="117"/>
      <c r="BB52" s="93" t="s">
        <v>68</v>
      </c>
      <c r="BC52" s="93" t="s">
        <v>77</v>
      </c>
      <c r="BD52" s="93" t="s">
        <v>70</v>
      </c>
    </row>
    <row r="53" spans="1:56" s="69" customFormat="1" ht="48" x14ac:dyDescent="0.2">
      <c r="A53" s="246"/>
      <c r="B53" s="246"/>
      <c r="C53" s="248"/>
      <c r="D53" s="249"/>
      <c r="E53" s="239"/>
      <c r="F53" s="250"/>
      <c r="G53" s="239"/>
      <c r="H53" s="107" t="s">
        <v>365</v>
      </c>
      <c r="I53" s="104" t="s">
        <v>366</v>
      </c>
      <c r="J53" s="97">
        <f>+[5]Pond!AF59</f>
        <v>24</v>
      </c>
      <c r="K53" s="104" t="s">
        <v>367</v>
      </c>
      <c r="L53" s="132">
        <v>100</v>
      </c>
      <c r="M53" s="94" t="s">
        <v>368</v>
      </c>
      <c r="N53" s="94" t="s">
        <v>57</v>
      </c>
      <c r="O53" s="104" t="s">
        <v>58</v>
      </c>
      <c r="P53" s="97">
        <v>1</v>
      </c>
      <c r="Q53" s="97">
        <v>1</v>
      </c>
      <c r="R53" s="97">
        <v>1</v>
      </c>
      <c r="S53" s="97">
        <v>1</v>
      </c>
      <c r="T53" s="124">
        <v>4</v>
      </c>
      <c r="U53" s="86"/>
      <c r="V53" s="87"/>
      <c r="W53" s="90"/>
      <c r="X53" s="90"/>
      <c r="Y53" s="90"/>
      <c r="Z53" s="90"/>
      <c r="AA53" s="115">
        <f>+'[5]Gastos por fuentes 2024'!D135</f>
        <v>809217600</v>
      </c>
      <c r="AB53" s="115"/>
      <c r="AC53" s="115"/>
      <c r="AD53" s="115">
        <f t="shared" si="17"/>
        <v>809217600</v>
      </c>
      <c r="AE53" s="115">
        <f>ROUND(+'[5]TASA RETRIBUTIVA 2024'!T7,0)</f>
        <v>830094374</v>
      </c>
      <c r="AF53" s="115"/>
      <c r="AG53" s="115"/>
      <c r="AH53" s="115">
        <f>SUM(AE53:AG53)</f>
        <v>830094374</v>
      </c>
      <c r="AI53" s="115">
        <f>ROUND(+'[5]TASA RETRIBUTIVA 2024'!Y7,0)</f>
        <v>929705700</v>
      </c>
      <c r="AJ53" s="115"/>
      <c r="AK53" s="115"/>
      <c r="AL53" s="115">
        <f>SUM(AI53:AK53)</f>
        <v>929705700</v>
      </c>
      <c r="AM53" s="115">
        <f>+'[5]TASA RETRIBUTIVA 2024'!AD7</f>
        <v>1041270384</v>
      </c>
      <c r="AN53" s="115"/>
      <c r="AO53" s="115"/>
      <c r="AP53" s="116">
        <f>SUM(AM53:AO53)</f>
        <v>1041270384</v>
      </c>
      <c r="AQ53" s="115">
        <f t="shared" si="18"/>
        <v>3610288058</v>
      </c>
      <c r="AR53" s="115">
        <f t="shared" si="18"/>
        <v>0</v>
      </c>
      <c r="AS53" s="115">
        <f t="shared" si="18"/>
        <v>0</v>
      </c>
      <c r="AT53" s="115">
        <f t="shared" si="18"/>
        <v>3610288058</v>
      </c>
      <c r="AU53" s="115" t="s">
        <v>61</v>
      </c>
      <c r="AV53" s="104" t="s">
        <v>369</v>
      </c>
      <c r="AW53" s="104" t="s">
        <v>370</v>
      </c>
      <c r="AX53" s="96" t="s">
        <v>151</v>
      </c>
      <c r="AY53" s="117" t="s">
        <v>65</v>
      </c>
      <c r="AZ53" s="117" t="s">
        <v>297</v>
      </c>
      <c r="BA53" s="117" t="s">
        <v>371</v>
      </c>
      <c r="BB53" s="93" t="s">
        <v>68</v>
      </c>
      <c r="BC53" s="93" t="s">
        <v>77</v>
      </c>
      <c r="BD53" s="93" t="s">
        <v>70</v>
      </c>
    </row>
    <row r="54" spans="1:56" s="69" customFormat="1" ht="38.4" x14ac:dyDescent="0.2">
      <c r="A54" s="246"/>
      <c r="B54" s="246"/>
      <c r="C54" s="248"/>
      <c r="D54" s="249"/>
      <c r="E54" s="239"/>
      <c r="F54" s="250"/>
      <c r="G54" s="239"/>
      <c r="H54" s="239" t="s">
        <v>372</v>
      </c>
      <c r="I54" s="308" t="s">
        <v>373</v>
      </c>
      <c r="J54" s="309">
        <f>+[5]Pond!AF60</f>
        <v>38</v>
      </c>
      <c r="K54" s="104" t="s">
        <v>374</v>
      </c>
      <c r="L54" s="132">
        <v>50</v>
      </c>
      <c r="M54" s="94" t="s">
        <v>375</v>
      </c>
      <c r="N54" s="94" t="s">
        <v>57</v>
      </c>
      <c r="O54" s="104" t="s">
        <v>73</v>
      </c>
      <c r="P54" s="97">
        <v>100</v>
      </c>
      <c r="Q54" s="97">
        <v>100</v>
      </c>
      <c r="R54" s="97">
        <v>100</v>
      </c>
      <c r="S54" s="97">
        <v>100</v>
      </c>
      <c r="T54" s="124">
        <f t="shared" ref="T54:T55" si="19">(+P54+Q54+R54+S54)/4</f>
        <v>100</v>
      </c>
      <c r="U54" s="86" t="s">
        <v>376</v>
      </c>
      <c r="V54" s="87"/>
      <c r="W54" s="90"/>
      <c r="X54" s="90"/>
      <c r="Y54" s="90"/>
      <c r="Z54" s="90"/>
      <c r="AA54" s="237">
        <f>+'[5]Gastos por fuentes 2024'!D139</f>
        <v>2108224800</v>
      </c>
      <c r="AB54" s="237"/>
      <c r="AC54" s="237"/>
      <c r="AD54" s="237">
        <f t="shared" si="17"/>
        <v>2108224800</v>
      </c>
      <c r="AE54" s="237">
        <f>ROUND(+'[5]TASA RETRIBUTIVA 2024'!T8,0)</f>
        <v>2162614291</v>
      </c>
      <c r="AF54" s="237"/>
      <c r="AG54" s="237"/>
      <c r="AH54" s="237">
        <f>SUM(AE54:AG54)</f>
        <v>2162614291</v>
      </c>
      <c r="AI54" s="237">
        <f>ROUND(+'[5]TASA RETRIBUTIVA 2024'!Y8,0)</f>
        <v>2422128005</v>
      </c>
      <c r="AJ54" s="237"/>
      <c r="AK54" s="237"/>
      <c r="AL54" s="237">
        <f>SUM(AI54:AK54)</f>
        <v>2422128005</v>
      </c>
      <c r="AM54" s="237">
        <f>+'[5]TASA RETRIBUTIVA 2024'!AD8</f>
        <v>2712783367</v>
      </c>
      <c r="AN54" s="237"/>
      <c r="AO54" s="237"/>
      <c r="AP54" s="238">
        <f>SUM(AM54:AO54)</f>
        <v>2712783367</v>
      </c>
      <c r="AQ54" s="237">
        <f t="shared" si="18"/>
        <v>9405750463</v>
      </c>
      <c r="AR54" s="237">
        <f t="shared" si="18"/>
        <v>0</v>
      </c>
      <c r="AS54" s="237">
        <f t="shared" si="18"/>
        <v>0</v>
      </c>
      <c r="AT54" s="237">
        <f t="shared" si="18"/>
        <v>9405750463</v>
      </c>
      <c r="AU54" s="115" t="s">
        <v>61</v>
      </c>
      <c r="AV54" s="104" t="s">
        <v>85</v>
      </c>
      <c r="AW54" s="104" t="s">
        <v>85</v>
      </c>
      <c r="AX54" s="96" t="s">
        <v>151</v>
      </c>
      <c r="AY54" s="117" t="s">
        <v>127</v>
      </c>
      <c r="AZ54" s="117" t="s">
        <v>213</v>
      </c>
      <c r="BA54" s="234" t="s">
        <v>377</v>
      </c>
      <c r="BB54" s="93" t="s">
        <v>68</v>
      </c>
      <c r="BC54" s="93" t="s">
        <v>152</v>
      </c>
      <c r="BD54" s="93" t="s">
        <v>70</v>
      </c>
    </row>
    <row r="55" spans="1:56" s="69" customFormat="1" ht="38.4" x14ac:dyDescent="0.2">
      <c r="A55" s="246"/>
      <c r="B55" s="246"/>
      <c r="C55" s="248"/>
      <c r="D55" s="249"/>
      <c r="E55" s="239"/>
      <c r="F55" s="250"/>
      <c r="G55" s="239"/>
      <c r="H55" s="239"/>
      <c r="I55" s="308"/>
      <c r="J55" s="309"/>
      <c r="K55" s="104" t="s">
        <v>378</v>
      </c>
      <c r="L55" s="132">
        <v>50</v>
      </c>
      <c r="M55" s="94" t="s">
        <v>379</v>
      </c>
      <c r="N55" s="94" t="s">
        <v>57</v>
      </c>
      <c r="O55" s="104" t="s">
        <v>73</v>
      </c>
      <c r="P55" s="97">
        <v>100</v>
      </c>
      <c r="Q55" s="97">
        <v>100</v>
      </c>
      <c r="R55" s="97">
        <v>100</v>
      </c>
      <c r="S55" s="97">
        <v>100</v>
      </c>
      <c r="T55" s="124">
        <f t="shared" si="19"/>
        <v>100</v>
      </c>
      <c r="U55" s="86"/>
      <c r="V55" s="87"/>
      <c r="W55" s="90"/>
      <c r="X55" s="90"/>
      <c r="Y55" s="90"/>
      <c r="Z55" s="90"/>
      <c r="AA55" s="237"/>
      <c r="AB55" s="237"/>
      <c r="AC55" s="237"/>
      <c r="AD55" s="237"/>
      <c r="AE55" s="237"/>
      <c r="AF55" s="237"/>
      <c r="AG55" s="237"/>
      <c r="AH55" s="237"/>
      <c r="AI55" s="237">
        <f>+EVEN(AE55*6%+AE55)</f>
        <v>0</v>
      </c>
      <c r="AJ55" s="237"/>
      <c r="AK55" s="237"/>
      <c r="AL55" s="237"/>
      <c r="AM55" s="237">
        <f t="shared" ref="AM55" si="20">+EVEN(AI55*6%+AI55)</f>
        <v>0</v>
      </c>
      <c r="AN55" s="237"/>
      <c r="AO55" s="237"/>
      <c r="AP55" s="238"/>
      <c r="AQ55" s="237">
        <f t="shared" si="18"/>
        <v>0</v>
      </c>
      <c r="AR55" s="237">
        <f t="shared" si="18"/>
        <v>0</v>
      </c>
      <c r="AS55" s="237">
        <f t="shared" si="18"/>
        <v>0</v>
      </c>
      <c r="AT55" s="237">
        <f t="shared" si="18"/>
        <v>0</v>
      </c>
      <c r="AU55" s="115" t="s">
        <v>61</v>
      </c>
      <c r="AV55" s="104" t="s">
        <v>380</v>
      </c>
      <c r="AW55" s="104" t="s">
        <v>381</v>
      </c>
      <c r="AX55" s="96" t="s">
        <v>151</v>
      </c>
      <c r="AY55" s="117" t="s">
        <v>65</v>
      </c>
      <c r="AZ55" s="117" t="s">
        <v>297</v>
      </c>
      <c r="BA55" s="234"/>
      <c r="BB55" s="93" t="s">
        <v>68</v>
      </c>
      <c r="BC55" s="93" t="s">
        <v>152</v>
      </c>
      <c r="BD55" s="93" t="s">
        <v>70</v>
      </c>
    </row>
    <row r="56" spans="1:56" s="69" customFormat="1" ht="67.2" x14ac:dyDescent="0.2">
      <c r="A56" s="246"/>
      <c r="B56" s="246"/>
      <c r="C56" s="248"/>
      <c r="D56" s="249"/>
      <c r="E56" s="239" t="s">
        <v>382</v>
      </c>
      <c r="F56" s="256">
        <f>+[5]Pond!AF61</f>
        <v>16</v>
      </c>
      <c r="G56" s="239" t="s">
        <v>321</v>
      </c>
      <c r="H56" s="255" t="s">
        <v>383</v>
      </c>
      <c r="I56" s="257" t="s">
        <v>384</v>
      </c>
      <c r="J56" s="258">
        <f>+[5]Pond!AF62</f>
        <v>100</v>
      </c>
      <c r="K56" s="83" t="s">
        <v>385</v>
      </c>
      <c r="L56" s="84">
        <v>30</v>
      </c>
      <c r="M56" s="83" t="s">
        <v>386</v>
      </c>
      <c r="N56" s="83" t="s">
        <v>209</v>
      </c>
      <c r="O56" s="83" t="s">
        <v>73</v>
      </c>
      <c r="P56" s="85">
        <v>100</v>
      </c>
      <c r="Q56" s="85">
        <v>100</v>
      </c>
      <c r="R56" s="85">
        <v>100</v>
      </c>
      <c r="S56" s="85">
        <v>100</v>
      </c>
      <c r="T56" s="85">
        <v>100</v>
      </c>
      <c r="U56" s="86" t="s">
        <v>387</v>
      </c>
      <c r="V56" s="94" t="str">
        <f>+M56</f>
        <v xml:space="preserve">Porcentaje de Programas de Uso Eficiente y Ahorro del Agua (PUEAA) con seguimiento (IMG Res.667/16 ).
</v>
      </c>
      <c r="W56" s="88" t="s">
        <v>388</v>
      </c>
      <c r="X56" s="89" t="s">
        <v>389</v>
      </c>
      <c r="Y56" s="90"/>
      <c r="Z56" s="90"/>
      <c r="AA56" s="237">
        <f>+'[5]Gastos por fuentes 2024'!D144</f>
        <v>539146345</v>
      </c>
      <c r="AB56" s="237"/>
      <c r="AC56" s="237"/>
      <c r="AD56" s="237">
        <f>SUM(AA56:AC56)</f>
        <v>539146345</v>
      </c>
      <c r="AE56" s="283">
        <f>ROUND(+'[5]TUA 2024'!K17+((457346345*3%)+457346345),0)</f>
        <v>556683475</v>
      </c>
      <c r="AF56" s="237"/>
      <c r="AG56" s="237"/>
      <c r="AH56" s="237">
        <f>SUM(AE56:AG56)</f>
        <v>556683475</v>
      </c>
      <c r="AI56" s="283">
        <f>ROUND(+'[5]TUA 2024'!P17+((475640199*10%)+475640199),0)</f>
        <v>619094969</v>
      </c>
      <c r="AJ56" s="237"/>
      <c r="AK56" s="237"/>
      <c r="AL56" s="237">
        <f>SUM(AI56:AK56)</f>
        <v>619094969</v>
      </c>
      <c r="AM56" s="283">
        <f>+ROUND('[5]TUA 2024'!T17+((523204219*10%)+523204219),0)</f>
        <v>682922283</v>
      </c>
      <c r="AN56" s="237"/>
      <c r="AO56" s="237"/>
      <c r="AP56" s="238">
        <f>SUM(AM56:AO56)</f>
        <v>682922283</v>
      </c>
      <c r="AQ56" s="237">
        <f t="shared" si="18"/>
        <v>2397847072</v>
      </c>
      <c r="AR56" s="237">
        <f t="shared" si="18"/>
        <v>0</v>
      </c>
      <c r="AS56" s="237">
        <f t="shared" si="18"/>
        <v>0</v>
      </c>
      <c r="AT56" s="237">
        <f t="shared" si="18"/>
        <v>2397847072</v>
      </c>
      <c r="AU56" s="115" t="s">
        <v>61</v>
      </c>
      <c r="AV56" s="83" t="s">
        <v>380</v>
      </c>
      <c r="AW56" s="104" t="s">
        <v>381</v>
      </c>
      <c r="AX56" s="96" t="s">
        <v>151</v>
      </c>
      <c r="AY56" s="117" t="s">
        <v>65</v>
      </c>
      <c r="AZ56" s="117" t="s">
        <v>297</v>
      </c>
      <c r="BA56" s="234" t="s">
        <v>390</v>
      </c>
      <c r="BB56" s="93" t="s">
        <v>68</v>
      </c>
      <c r="BC56" s="93" t="s">
        <v>152</v>
      </c>
      <c r="BD56" s="93" t="s">
        <v>70</v>
      </c>
    </row>
    <row r="57" spans="1:56" s="69" customFormat="1" ht="76.8" x14ac:dyDescent="0.2">
      <c r="A57" s="246"/>
      <c r="B57" s="246"/>
      <c r="C57" s="248"/>
      <c r="D57" s="249"/>
      <c r="E57" s="239"/>
      <c r="F57" s="256"/>
      <c r="G57" s="239"/>
      <c r="H57" s="255"/>
      <c r="I57" s="257"/>
      <c r="J57" s="258"/>
      <c r="K57" s="83" t="s">
        <v>391</v>
      </c>
      <c r="L57" s="84">
        <v>5</v>
      </c>
      <c r="M57" s="83" t="s">
        <v>392</v>
      </c>
      <c r="N57" s="88" t="s">
        <v>393</v>
      </c>
      <c r="O57" s="83" t="s">
        <v>81</v>
      </c>
      <c r="P57" s="85">
        <v>100</v>
      </c>
      <c r="Q57" s="85">
        <v>100</v>
      </c>
      <c r="R57" s="85">
        <v>100</v>
      </c>
      <c r="S57" s="85">
        <v>100</v>
      </c>
      <c r="T57" s="85">
        <v>100</v>
      </c>
      <c r="U57" s="86" t="s">
        <v>394</v>
      </c>
      <c r="V57" s="94" t="str">
        <f>+M57</f>
        <v xml:space="preserve">Porcentaje de autorizaciones ambientales con seguimiento (Concesiones de agua) (IMG Res.667/16).
</v>
      </c>
      <c r="W57" s="90"/>
      <c r="X57" s="90"/>
      <c r="Y57" s="90"/>
      <c r="Z57" s="90"/>
      <c r="AA57" s="237"/>
      <c r="AB57" s="237"/>
      <c r="AC57" s="237"/>
      <c r="AD57" s="237"/>
      <c r="AE57" s="237"/>
      <c r="AF57" s="237"/>
      <c r="AG57" s="237"/>
      <c r="AH57" s="237"/>
      <c r="AI57" s="237"/>
      <c r="AJ57" s="237"/>
      <c r="AK57" s="237"/>
      <c r="AL57" s="237"/>
      <c r="AM57" s="237"/>
      <c r="AN57" s="237"/>
      <c r="AO57" s="237"/>
      <c r="AP57" s="238"/>
      <c r="AQ57" s="237">
        <f t="shared" si="18"/>
        <v>0</v>
      </c>
      <c r="AR57" s="237">
        <f t="shared" si="18"/>
        <v>0</v>
      </c>
      <c r="AS57" s="237">
        <f t="shared" si="18"/>
        <v>0</v>
      </c>
      <c r="AT57" s="237">
        <f t="shared" si="18"/>
        <v>0</v>
      </c>
      <c r="AU57" s="115" t="s">
        <v>61</v>
      </c>
      <c r="AV57" s="83" t="s">
        <v>380</v>
      </c>
      <c r="AW57" s="104" t="s">
        <v>381</v>
      </c>
      <c r="AX57" s="96" t="s">
        <v>151</v>
      </c>
      <c r="AY57" s="117" t="s">
        <v>65</v>
      </c>
      <c r="AZ57" s="117" t="s">
        <v>297</v>
      </c>
      <c r="BA57" s="234"/>
      <c r="BB57" s="93" t="s">
        <v>130</v>
      </c>
      <c r="BC57" s="93" t="s">
        <v>131</v>
      </c>
      <c r="BD57" s="93" t="s">
        <v>132</v>
      </c>
    </row>
    <row r="58" spans="1:56" s="69" customFormat="1" ht="38.4" x14ac:dyDescent="0.2">
      <c r="A58" s="246"/>
      <c r="B58" s="246"/>
      <c r="C58" s="248"/>
      <c r="D58" s="249"/>
      <c r="E58" s="239"/>
      <c r="F58" s="256"/>
      <c r="G58" s="239"/>
      <c r="H58" s="255"/>
      <c r="I58" s="257"/>
      <c r="J58" s="258"/>
      <c r="K58" s="83" t="s">
        <v>395</v>
      </c>
      <c r="L58" s="84">
        <v>35</v>
      </c>
      <c r="M58" s="94" t="s">
        <v>396</v>
      </c>
      <c r="N58" s="88" t="s">
        <v>397</v>
      </c>
      <c r="O58" s="83" t="s">
        <v>89</v>
      </c>
      <c r="P58" s="85">
        <v>52</v>
      </c>
      <c r="Q58" s="85">
        <v>52</v>
      </c>
      <c r="R58" s="85">
        <v>52</v>
      </c>
      <c r="S58" s="85">
        <v>52</v>
      </c>
      <c r="T58" s="85">
        <v>52</v>
      </c>
      <c r="U58" s="86"/>
      <c r="V58" s="94" t="str">
        <f>+M58</f>
        <v xml:space="preserve">
Tiempo promedio de trámite para la resolución de autorizaciones ambientales (Concesión-días) otorgadas por la corporación (IMG RES. 667/16)</v>
      </c>
      <c r="W58" s="90"/>
      <c r="X58" s="90"/>
      <c r="Y58" s="90"/>
      <c r="Z58" s="90"/>
      <c r="AA58" s="237"/>
      <c r="AB58" s="237"/>
      <c r="AC58" s="237"/>
      <c r="AD58" s="237"/>
      <c r="AE58" s="237"/>
      <c r="AF58" s="237"/>
      <c r="AG58" s="237"/>
      <c r="AH58" s="237"/>
      <c r="AI58" s="237"/>
      <c r="AJ58" s="237"/>
      <c r="AK58" s="237"/>
      <c r="AL58" s="237"/>
      <c r="AM58" s="237"/>
      <c r="AN58" s="237"/>
      <c r="AO58" s="237"/>
      <c r="AP58" s="238"/>
      <c r="AQ58" s="237">
        <f t="shared" si="18"/>
        <v>0</v>
      </c>
      <c r="AR58" s="237">
        <f t="shared" si="18"/>
        <v>0</v>
      </c>
      <c r="AS58" s="237">
        <f t="shared" si="18"/>
        <v>0</v>
      </c>
      <c r="AT58" s="237">
        <f t="shared" si="18"/>
        <v>0</v>
      </c>
      <c r="AU58" s="115" t="s">
        <v>61</v>
      </c>
      <c r="AV58" s="83" t="s">
        <v>398</v>
      </c>
      <c r="AW58" s="104" t="s">
        <v>399</v>
      </c>
      <c r="AX58" s="96" t="s">
        <v>151</v>
      </c>
      <c r="AY58" s="117" t="s">
        <v>65</v>
      </c>
      <c r="AZ58" s="117" t="s">
        <v>297</v>
      </c>
      <c r="BA58" s="234"/>
      <c r="BB58" s="93" t="s">
        <v>130</v>
      </c>
      <c r="BC58" s="93" t="s">
        <v>131</v>
      </c>
      <c r="BD58" s="93" t="s">
        <v>132</v>
      </c>
    </row>
    <row r="59" spans="1:56" s="69" customFormat="1" ht="38.4" x14ac:dyDescent="0.2">
      <c r="A59" s="246"/>
      <c r="B59" s="246"/>
      <c r="C59" s="248"/>
      <c r="D59" s="249"/>
      <c r="E59" s="239"/>
      <c r="F59" s="256"/>
      <c r="G59" s="239"/>
      <c r="H59" s="255"/>
      <c r="I59" s="257"/>
      <c r="J59" s="258"/>
      <c r="K59" s="94" t="s">
        <v>400</v>
      </c>
      <c r="L59" s="108">
        <v>30</v>
      </c>
      <c r="M59" s="94" t="s">
        <v>401</v>
      </c>
      <c r="N59" s="94" t="s">
        <v>57</v>
      </c>
      <c r="O59" s="83" t="s">
        <v>73</v>
      </c>
      <c r="P59" s="85">
        <v>100</v>
      </c>
      <c r="Q59" s="85">
        <v>100</v>
      </c>
      <c r="R59" s="85">
        <v>100</v>
      </c>
      <c r="S59" s="85">
        <v>100</v>
      </c>
      <c r="T59" s="85">
        <v>100</v>
      </c>
      <c r="U59" s="86" t="s">
        <v>402</v>
      </c>
      <c r="V59" s="87"/>
      <c r="W59" s="90"/>
      <c r="X59" s="90"/>
      <c r="Y59" s="90"/>
      <c r="Z59" s="90"/>
      <c r="AA59" s="237"/>
      <c r="AB59" s="237"/>
      <c r="AC59" s="237"/>
      <c r="AD59" s="237"/>
      <c r="AE59" s="237"/>
      <c r="AF59" s="237"/>
      <c r="AG59" s="237"/>
      <c r="AH59" s="237"/>
      <c r="AI59" s="237"/>
      <c r="AJ59" s="237"/>
      <c r="AK59" s="237"/>
      <c r="AL59" s="237"/>
      <c r="AM59" s="237"/>
      <c r="AN59" s="237"/>
      <c r="AO59" s="237"/>
      <c r="AP59" s="238"/>
      <c r="AQ59" s="237">
        <f t="shared" si="18"/>
        <v>0</v>
      </c>
      <c r="AR59" s="237">
        <f t="shared" si="18"/>
        <v>0</v>
      </c>
      <c r="AS59" s="237">
        <f t="shared" si="18"/>
        <v>0</v>
      </c>
      <c r="AT59" s="237">
        <f t="shared" si="18"/>
        <v>0</v>
      </c>
      <c r="AU59" s="115" t="s">
        <v>61</v>
      </c>
      <c r="AV59" s="94" t="s">
        <v>380</v>
      </c>
      <c r="AW59" s="104" t="s">
        <v>403</v>
      </c>
      <c r="AX59" s="96" t="s">
        <v>151</v>
      </c>
      <c r="AY59" s="117" t="s">
        <v>65</v>
      </c>
      <c r="AZ59" s="117" t="s">
        <v>297</v>
      </c>
      <c r="BA59" s="234"/>
      <c r="BB59" s="93" t="s">
        <v>130</v>
      </c>
      <c r="BC59" s="93" t="s">
        <v>131</v>
      </c>
      <c r="BD59" s="93" t="s">
        <v>132</v>
      </c>
    </row>
    <row r="60" spans="1:56" s="69" customFormat="1" ht="76.8" x14ac:dyDescent="0.2">
      <c r="A60" s="246"/>
      <c r="B60" s="246"/>
      <c r="C60" s="248"/>
      <c r="D60" s="249"/>
      <c r="E60" s="255" t="s">
        <v>404</v>
      </c>
      <c r="F60" s="256">
        <f>+[5]Pond!AF63</f>
        <v>18</v>
      </c>
      <c r="G60" s="255" t="s">
        <v>321</v>
      </c>
      <c r="H60" s="255" t="s">
        <v>405</v>
      </c>
      <c r="I60" s="257" t="s">
        <v>406</v>
      </c>
      <c r="J60" s="258">
        <f>+[5]Pond!AF64</f>
        <v>100</v>
      </c>
      <c r="K60" s="83" t="s">
        <v>407</v>
      </c>
      <c r="L60" s="84">
        <v>10</v>
      </c>
      <c r="M60" s="83" t="s">
        <v>408</v>
      </c>
      <c r="N60" s="83" t="s">
        <v>209</v>
      </c>
      <c r="O60" s="83" t="s">
        <v>73</v>
      </c>
      <c r="P60" s="85">
        <v>100</v>
      </c>
      <c r="Q60" s="85">
        <v>100</v>
      </c>
      <c r="R60" s="85">
        <v>100</v>
      </c>
      <c r="S60" s="85">
        <v>100</v>
      </c>
      <c r="T60" s="85">
        <v>100</v>
      </c>
      <c r="U60" s="86" t="s">
        <v>409</v>
      </c>
      <c r="V60" s="94" t="str">
        <f t="shared" ref="V60:V65" si="21">+M60</f>
        <v xml:space="preserve">Porcentaje de  Planes de  saneamiento y Manejo de Vertimientos PSMV con  seguimiento (IMG Res.667/16)
</v>
      </c>
      <c r="W60" s="88" t="s">
        <v>410</v>
      </c>
      <c r="X60" s="89" t="s">
        <v>411</v>
      </c>
      <c r="Y60" s="90"/>
      <c r="Z60" s="90"/>
      <c r="AA60" s="262">
        <f>467000000+63000000</f>
        <v>530000000</v>
      </c>
      <c r="AB60" s="262"/>
      <c r="AC60" s="262"/>
      <c r="AD60" s="262">
        <f>SUM(AA60:AC60)</f>
        <v>530000000</v>
      </c>
      <c r="AE60" s="262">
        <f>+ROUND('[5]TASA RETRIBUTIVA 2024'!T9+(63000000*3%)+63000000,0)</f>
        <v>543938000</v>
      </c>
      <c r="AF60" s="262"/>
      <c r="AG60" s="262"/>
      <c r="AH60" s="262">
        <f>SUM(AE60:AG60)</f>
        <v>543938000</v>
      </c>
      <c r="AI60" s="237">
        <f>+ROUND('[5]TASA RETRIBUTIVA 2024'!Y9+(65520000*10%)+65520000,0)</f>
        <v>608605760</v>
      </c>
      <c r="AJ60" s="262"/>
      <c r="AK60" s="262"/>
      <c r="AL60" s="262">
        <f>SUM(AI60:AK60)</f>
        <v>608605760</v>
      </c>
      <c r="AM60" s="237">
        <f>+ROUND('[5]TASA RETRIBUTIVA 2024'!AD9+(72072000*10%)+72072000,0)</f>
        <v>680197011</v>
      </c>
      <c r="AN60" s="262"/>
      <c r="AO60" s="262"/>
      <c r="AP60" s="271">
        <f>SUM(AM60:AO60)</f>
        <v>680197011</v>
      </c>
      <c r="AQ60" s="262">
        <f t="shared" si="18"/>
        <v>2362740771</v>
      </c>
      <c r="AR60" s="262">
        <f t="shared" si="18"/>
        <v>0</v>
      </c>
      <c r="AS60" s="262">
        <f t="shared" si="18"/>
        <v>0</v>
      </c>
      <c r="AT60" s="262">
        <f t="shared" si="18"/>
        <v>2362740771</v>
      </c>
      <c r="AU60" s="130" t="s">
        <v>61</v>
      </c>
      <c r="AV60" s="83" t="s">
        <v>380</v>
      </c>
      <c r="AW60" s="104" t="s">
        <v>381</v>
      </c>
      <c r="AX60" s="96" t="s">
        <v>151</v>
      </c>
      <c r="AY60" s="96" t="s">
        <v>65</v>
      </c>
      <c r="AZ60" s="96" t="s">
        <v>412</v>
      </c>
      <c r="BA60" s="300" t="s">
        <v>390</v>
      </c>
      <c r="BB60" s="93" t="s">
        <v>130</v>
      </c>
      <c r="BC60" s="93" t="s">
        <v>131</v>
      </c>
      <c r="BD60" s="93" t="s">
        <v>132</v>
      </c>
    </row>
    <row r="61" spans="1:56" s="69" customFormat="1" ht="38.4" x14ac:dyDescent="0.2">
      <c r="A61" s="246"/>
      <c r="B61" s="246"/>
      <c r="C61" s="248"/>
      <c r="D61" s="249"/>
      <c r="E61" s="255"/>
      <c r="F61" s="256"/>
      <c r="G61" s="255"/>
      <c r="H61" s="255"/>
      <c r="I61" s="257"/>
      <c r="J61" s="258"/>
      <c r="K61" s="83" t="s">
        <v>413</v>
      </c>
      <c r="L61" s="84">
        <v>20</v>
      </c>
      <c r="M61" s="83" t="s">
        <v>414</v>
      </c>
      <c r="N61" s="83" t="s">
        <v>415</v>
      </c>
      <c r="O61" s="83" t="s">
        <v>89</v>
      </c>
      <c r="P61" s="85">
        <v>90</v>
      </c>
      <c r="Q61" s="85">
        <v>90</v>
      </c>
      <c r="R61" s="85">
        <v>90</v>
      </c>
      <c r="S61" s="85">
        <v>90</v>
      </c>
      <c r="T61" s="85">
        <v>90</v>
      </c>
      <c r="U61" s="86"/>
      <c r="V61" s="94" t="str">
        <f t="shared" si="21"/>
        <v>Tiempo promedio de trámite para la resolución de autorizaciones ambientales otorgadas por la Corporación (PSMV) (IMG Res 667/16)</v>
      </c>
      <c r="W61" s="88"/>
      <c r="X61" s="89" t="s">
        <v>416</v>
      </c>
      <c r="Y61" s="90"/>
      <c r="Z61" s="90"/>
      <c r="AA61" s="262"/>
      <c r="AB61" s="262"/>
      <c r="AC61" s="262"/>
      <c r="AD61" s="262"/>
      <c r="AE61" s="262"/>
      <c r="AF61" s="262"/>
      <c r="AG61" s="262"/>
      <c r="AH61" s="262"/>
      <c r="AI61" s="237"/>
      <c r="AJ61" s="262"/>
      <c r="AK61" s="262"/>
      <c r="AL61" s="262"/>
      <c r="AM61" s="237"/>
      <c r="AN61" s="262"/>
      <c r="AO61" s="262"/>
      <c r="AP61" s="271"/>
      <c r="AQ61" s="262">
        <f t="shared" si="18"/>
        <v>0</v>
      </c>
      <c r="AR61" s="262">
        <f t="shared" si="18"/>
        <v>0</v>
      </c>
      <c r="AS61" s="262">
        <f t="shared" si="18"/>
        <v>0</v>
      </c>
      <c r="AT61" s="262">
        <f t="shared" si="18"/>
        <v>0</v>
      </c>
      <c r="AU61" s="130" t="s">
        <v>61</v>
      </c>
      <c r="AV61" s="83" t="s">
        <v>380</v>
      </c>
      <c r="AW61" s="104" t="s">
        <v>403</v>
      </c>
      <c r="AX61" s="96" t="s">
        <v>151</v>
      </c>
      <c r="AY61" s="96" t="s">
        <v>65</v>
      </c>
      <c r="AZ61" s="96" t="s">
        <v>412</v>
      </c>
      <c r="BA61" s="300"/>
      <c r="BB61" s="93" t="s">
        <v>130</v>
      </c>
      <c r="BC61" s="93" t="s">
        <v>131</v>
      </c>
      <c r="BD61" s="93" t="s">
        <v>132</v>
      </c>
    </row>
    <row r="62" spans="1:56" s="69" customFormat="1" ht="67.2" x14ac:dyDescent="0.2">
      <c r="A62" s="246"/>
      <c r="B62" s="246"/>
      <c r="C62" s="248"/>
      <c r="D62" s="249"/>
      <c r="E62" s="255"/>
      <c r="F62" s="256"/>
      <c r="G62" s="255"/>
      <c r="H62" s="255"/>
      <c r="I62" s="257"/>
      <c r="J62" s="258"/>
      <c r="K62" s="120" t="s">
        <v>417</v>
      </c>
      <c r="L62" s="121">
        <v>20</v>
      </c>
      <c r="M62" s="120" t="s">
        <v>418</v>
      </c>
      <c r="N62" s="83" t="s">
        <v>419</v>
      </c>
      <c r="O62" s="120" t="s">
        <v>73</v>
      </c>
      <c r="P62" s="85">
        <v>100</v>
      </c>
      <c r="Q62" s="85">
        <v>100</v>
      </c>
      <c r="R62" s="85">
        <v>100</v>
      </c>
      <c r="S62" s="85">
        <v>100</v>
      </c>
      <c r="T62" s="85">
        <v>100</v>
      </c>
      <c r="U62" s="86" t="s">
        <v>420</v>
      </c>
      <c r="V62" s="94" t="str">
        <f t="shared" si="21"/>
        <v xml:space="preserve">Porcentaje de autorizaciones ambientales con seguimiento (Permisos de vertimientos) (IMG Res.667/16)
</v>
      </c>
      <c r="W62" s="90"/>
      <c r="X62" s="90"/>
      <c r="Y62" s="90"/>
      <c r="Z62" s="90"/>
      <c r="AA62" s="262"/>
      <c r="AB62" s="262"/>
      <c r="AC62" s="262"/>
      <c r="AD62" s="262"/>
      <c r="AE62" s="262"/>
      <c r="AF62" s="262"/>
      <c r="AG62" s="262"/>
      <c r="AH62" s="262"/>
      <c r="AI62" s="237"/>
      <c r="AJ62" s="262"/>
      <c r="AK62" s="262"/>
      <c r="AL62" s="262"/>
      <c r="AM62" s="237"/>
      <c r="AN62" s="262"/>
      <c r="AO62" s="262"/>
      <c r="AP62" s="271"/>
      <c r="AQ62" s="262">
        <f t="shared" si="18"/>
        <v>0</v>
      </c>
      <c r="AR62" s="262">
        <f t="shared" si="18"/>
        <v>0</v>
      </c>
      <c r="AS62" s="262">
        <f t="shared" si="18"/>
        <v>0</v>
      </c>
      <c r="AT62" s="262">
        <f t="shared" si="18"/>
        <v>0</v>
      </c>
      <c r="AU62" s="130" t="s">
        <v>61</v>
      </c>
      <c r="AV62" s="83" t="s">
        <v>380</v>
      </c>
      <c r="AW62" s="104" t="s">
        <v>381</v>
      </c>
      <c r="AX62" s="96" t="s">
        <v>151</v>
      </c>
      <c r="AY62" s="96" t="s">
        <v>65</v>
      </c>
      <c r="AZ62" s="96" t="s">
        <v>412</v>
      </c>
      <c r="BA62" s="300"/>
      <c r="BB62" s="93" t="s">
        <v>130</v>
      </c>
      <c r="BC62" s="93" t="s">
        <v>131</v>
      </c>
      <c r="BD62" s="93" t="s">
        <v>132</v>
      </c>
    </row>
    <row r="63" spans="1:56" s="69" customFormat="1" ht="38.4" x14ac:dyDescent="0.2">
      <c r="A63" s="246"/>
      <c r="B63" s="246"/>
      <c r="C63" s="248"/>
      <c r="D63" s="249"/>
      <c r="E63" s="255"/>
      <c r="F63" s="256"/>
      <c r="G63" s="255"/>
      <c r="H63" s="255"/>
      <c r="I63" s="257"/>
      <c r="J63" s="258"/>
      <c r="K63" s="83" t="s">
        <v>421</v>
      </c>
      <c r="L63" s="84">
        <v>20</v>
      </c>
      <c r="M63" s="83" t="s">
        <v>422</v>
      </c>
      <c r="N63" s="83" t="s">
        <v>415</v>
      </c>
      <c r="O63" s="83" t="s">
        <v>89</v>
      </c>
      <c r="P63" s="85">
        <v>68</v>
      </c>
      <c r="Q63" s="85">
        <v>68</v>
      </c>
      <c r="R63" s="85">
        <v>68</v>
      </c>
      <c r="S63" s="85">
        <v>68</v>
      </c>
      <c r="T63" s="85">
        <v>68</v>
      </c>
      <c r="U63" s="86" t="s">
        <v>423</v>
      </c>
      <c r="V63" s="94" t="str">
        <f t="shared" si="21"/>
        <v>Tiempo promedio de trámite para la resolución de autorizaciones ambientales otorgadas por la Corporación (permiso de vertimientos) (IMG Res. 667/16)</v>
      </c>
      <c r="W63" s="90"/>
      <c r="X63" s="90"/>
      <c r="Y63" s="90"/>
      <c r="Z63" s="90"/>
      <c r="AA63" s="262"/>
      <c r="AB63" s="262"/>
      <c r="AC63" s="262"/>
      <c r="AD63" s="262"/>
      <c r="AE63" s="262"/>
      <c r="AF63" s="262"/>
      <c r="AG63" s="262"/>
      <c r="AH63" s="262"/>
      <c r="AI63" s="237"/>
      <c r="AJ63" s="262"/>
      <c r="AK63" s="262"/>
      <c r="AL63" s="262"/>
      <c r="AM63" s="237"/>
      <c r="AN63" s="262"/>
      <c r="AO63" s="262"/>
      <c r="AP63" s="271"/>
      <c r="AQ63" s="262">
        <f t="shared" si="18"/>
        <v>0</v>
      </c>
      <c r="AR63" s="262">
        <f t="shared" si="18"/>
        <v>0</v>
      </c>
      <c r="AS63" s="262">
        <f t="shared" si="18"/>
        <v>0</v>
      </c>
      <c r="AT63" s="262">
        <f t="shared" si="18"/>
        <v>0</v>
      </c>
      <c r="AU63" s="130" t="s">
        <v>61</v>
      </c>
      <c r="AV63" s="83" t="s">
        <v>380</v>
      </c>
      <c r="AW63" s="104" t="s">
        <v>403</v>
      </c>
      <c r="AX63" s="96" t="s">
        <v>151</v>
      </c>
      <c r="AY63" s="96" t="s">
        <v>65</v>
      </c>
      <c r="AZ63" s="96" t="s">
        <v>412</v>
      </c>
      <c r="BA63" s="300"/>
      <c r="BB63" s="93" t="s">
        <v>130</v>
      </c>
      <c r="BC63" s="93" t="s">
        <v>131</v>
      </c>
      <c r="BD63" s="93" t="s">
        <v>132</v>
      </c>
    </row>
    <row r="64" spans="1:56" s="69" customFormat="1" ht="38.4" x14ac:dyDescent="0.2">
      <c r="A64" s="246"/>
      <c r="B64" s="246"/>
      <c r="C64" s="248"/>
      <c r="D64" s="249"/>
      <c r="E64" s="255"/>
      <c r="F64" s="256"/>
      <c r="G64" s="255"/>
      <c r="H64" s="255"/>
      <c r="I64" s="257"/>
      <c r="J64" s="258"/>
      <c r="K64" s="304" t="s">
        <v>424</v>
      </c>
      <c r="L64" s="306">
        <v>10</v>
      </c>
      <c r="M64" s="83" t="s">
        <v>425</v>
      </c>
      <c r="N64" s="83" t="s">
        <v>426</v>
      </c>
      <c r="O64" s="83" t="s">
        <v>73</v>
      </c>
      <c r="P64" s="85">
        <v>100</v>
      </c>
      <c r="Q64" s="85"/>
      <c r="R64" s="85"/>
      <c r="S64" s="85"/>
      <c r="T64" s="85">
        <v>100</v>
      </c>
      <c r="U64" s="86" t="s">
        <v>427</v>
      </c>
      <c r="V64" s="94" t="str">
        <f t="shared" si="21"/>
        <v xml:space="preserve">Porcentaje de actualización y reporte de la información en el SIAC (IMG Res. 667 /16)
</v>
      </c>
      <c r="W64" s="90"/>
      <c r="X64" s="90"/>
      <c r="Y64" s="90"/>
      <c r="Z64" s="90"/>
      <c r="AA64" s="262"/>
      <c r="AB64" s="262"/>
      <c r="AC64" s="262"/>
      <c r="AD64" s="262"/>
      <c r="AE64" s="262"/>
      <c r="AF64" s="262"/>
      <c r="AG64" s="262"/>
      <c r="AH64" s="262"/>
      <c r="AI64" s="237"/>
      <c r="AJ64" s="262"/>
      <c r="AK64" s="262"/>
      <c r="AL64" s="262"/>
      <c r="AM64" s="237"/>
      <c r="AN64" s="262"/>
      <c r="AO64" s="262"/>
      <c r="AP64" s="271"/>
      <c r="AQ64" s="262">
        <f t="shared" si="18"/>
        <v>0</v>
      </c>
      <c r="AR64" s="262">
        <f t="shared" si="18"/>
        <v>0</v>
      </c>
      <c r="AS64" s="262">
        <f t="shared" si="18"/>
        <v>0</v>
      </c>
      <c r="AT64" s="262">
        <f t="shared" si="18"/>
        <v>0</v>
      </c>
      <c r="AU64" s="130" t="s">
        <v>61</v>
      </c>
      <c r="AV64" s="83" t="s">
        <v>357</v>
      </c>
      <c r="AW64" s="104" t="s">
        <v>358</v>
      </c>
      <c r="AX64" s="96" t="s">
        <v>209</v>
      </c>
      <c r="AY64" s="96" t="s">
        <v>65</v>
      </c>
      <c r="AZ64" s="96" t="s">
        <v>297</v>
      </c>
      <c r="BA64" s="300"/>
      <c r="BB64" s="93" t="s">
        <v>130</v>
      </c>
      <c r="BC64" s="93" t="s">
        <v>131</v>
      </c>
      <c r="BD64" s="93" t="s">
        <v>132</v>
      </c>
    </row>
    <row r="65" spans="1:56" s="69" customFormat="1" ht="38.4" x14ac:dyDescent="0.2">
      <c r="A65" s="246"/>
      <c r="B65" s="246"/>
      <c r="C65" s="248"/>
      <c r="D65" s="249"/>
      <c r="E65" s="255"/>
      <c r="F65" s="256"/>
      <c r="G65" s="255"/>
      <c r="H65" s="255"/>
      <c r="I65" s="257"/>
      <c r="J65" s="258"/>
      <c r="K65" s="305"/>
      <c r="L65" s="307"/>
      <c r="M65" s="83" t="s">
        <v>428</v>
      </c>
      <c r="N65" s="83" t="s">
        <v>429</v>
      </c>
      <c r="O65" s="83" t="s">
        <v>73</v>
      </c>
      <c r="P65" s="85">
        <v>100</v>
      </c>
      <c r="Q65" s="85"/>
      <c r="R65" s="85"/>
      <c r="S65" s="85"/>
      <c r="T65" s="85">
        <v>100</v>
      </c>
      <c r="U65" s="86" t="s">
        <v>430</v>
      </c>
      <c r="V65" s="94" t="str">
        <f t="shared" si="21"/>
        <v>Porcentaje de ejecución de acciones en gestión ambiental urbana (IMG Res. 667 /16)</v>
      </c>
      <c r="W65" s="90"/>
      <c r="X65" s="90"/>
      <c r="Y65" s="90"/>
      <c r="Z65" s="90"/>
      <c r="AA65" s="262"/>
      <c r="AB65" s="262"/>
      <c r="AC65" s="262"/>
      <c r="AD65" s="262"/>
      <c r="AE65" s="262"/>
      <c r="AF65" s="262"/>
      <c r="AG65" s="262"/>
      <c r="AH65" s="262"/>
      <c r="AI65" s="237"/>
      <c r="AJ65" s="262"/>
      <c r="AK65" s="262"/>
      <c r="AL65" s="262"/>
      <c r="AM65" s="237"/>
      <c r="AN65" s="262"/>
      <c r="AO65" s="262"/>
      <c r="AP65" s="271"/>
      <c r="AQ65" s="262">
        <f t="shared" si="18"/>
        <v>0</v>
      </c>
      <c r="AR65" s="262">
        <f t="shared" si="18"/>
        <v>0</v>
      </c>
      <c r="AS65" s="262">
        <f t="shared" si="18"/>
        <v>0</v>
      </c>
      <c r="AT65" s="262">
        <f t="shared" si="18"/>
        <v>0</v>
      </c>
      <c r="AU65" s="130" t="s">
        <v>61</v>
      </c>
      <c r="AV65" s="83" t="s">
        <v>85</v>
      </c>
      <c r="AW65" s="83" t="s">
        <v>85</v>
      </c>
      <c r="AX65" s="96" t="s">
        <v>209</v>
      </c>
      <c r="AY65" s="96" t="s">
        <v>65</v>
      </c>
      <c r="AZ65" s="96" t="s">
        <v>297</v>
      </c>
      <c r="BA65" s="300"/>
      <c r="BB65" s="93" t="s">
        <v>130</v>
      </c>
      <c r="BC65" s="93" t="s">
        <v>131</v>
      </c>
      <c r="BD65" s="93" t="s">
        <v>132</v>
      </c>
    </row>
    <row r="66" spans="1:56" s="69" customFormat="1" ht="38.4" x14ac:dyDescent="0.2">
      <c r="A66" s="246"/>
      <c r="B66" s="246"/>
      <c r="C66" s="248"/>
      <c r="D66" s="249"/>
      <c r="E66" s="255"/>
      <c r="F66" s="256"/>
      <c r="G66" s="255"/>
      <c r="H66" s="255"/>
      <c r="I66" s="257"/>
      <c r="J66" s="258"/>
      <c r="K66" s="83" t="s">
        <v>431</v>
      </c>
      <c r="L66" s="99">
        <v>20</v>
      </c>
      <c r="M66" s="83" t="s">
        <v>432</v>
      </c>
      <c r="N66" s="83" t="s">
        <v>57</v>
      </c>
      <c r="O66" s="83" t="s">
        <v>73</v>
      </c>
      <c r="P66" s="85">
        <v>100</v>
      </c>
      <c r="Q66" s="85">
        <v>100</v>
      </c>
      <c r="R66" s="85">
        <v>100</v>
      </c>
      <c r="S66" s="85">
        <v>100</v>
      </c>
      <c r="T66" s="85">
        <v>100</v>
      </c>
      <c r="U66" s="86" t="s">
        <v>433</v>
      </c>
      <c r="V66" s="87"/>
      <c r="W66" s="90"/>
      <c r="X66" s="90"/>
      <c r="Y66" s="90"/>
      <c r="Z66" s="90"/>
      <c r="AA66" s="262"/>
      <c r="AB66" s="262"/>
      <c r="AC66" s="262"/>
      <c r="AD66" s="262"/>
      <c r="AE66" s="262"/>
      <c r="AF66" s="262"/>
      <c r="AG66" s="262"/>
      <c r="AH66" s="262"/>
      <c r="AI66" s="237"/>
      <c r="AJ66" s="262"/>
      <c r="AK66" s="262"/>
      <c r="AL66" s="262"/>
      <c r="AM66" s="237"/>
      <c r="AN66" s="262"/>
      <c r="AO66" s="262"/>
      <c r="AP66" s="271"/>
      <c r="AQ66" s="262">
        <f t="shared" si="18"/>
        <v>0</v>
      </c>
      <c r="AR66" s="262">
        <f t="shared" si="18"/>
        <v>0</v>
      </c>
      <c r="AS66" s="262">
        <f t="shared" si="18"/>
        <v>0</v>
      </c>
      <c r="AT66" s="262">
        <f t="shared" si="18"/>
        <v>0</v>
      </c>
      <c r="AU66" s="130" t="s">
        <v>61</v>
      </c>
      <c r="AV66" s="83" t="s">
        <v>380</v>
      </c>
      <c r="AW66" s="104" t="s">
        <v>381</v>
      </c>
      <c r="AX66" s="96" t="s">
        <v>151</v>
      </c>
      <c r="AY66" s="96" t="s">
        <v>65</v>
      </c>
      <c r="AZ66" s="96" t="s">
        <v>412</v>
      </c>
      <c r="BA66" s="300"/>
      <c r="BB66" s="93" t="s">
        <v>130</v>
      </c>
      <c r="BC66" s="93" t="s">
        <v>131</v>
      </c>
      <c r="BD66" s="93" t="s">
        <v>132</v>
      </c>
    </row>
    <row r="67" spans="1:56" s="69" customFormat="1" ht="172.8" x14ac:dyDescent="0.2">
      <c r="A67" s="246"/>
      <c r="B67" s="246"/>
      <c r="C67" s="248" t="s">
        <v>434</v>
      </c>
      <c r="D67" s="249">
        <v>14</v>
      </c>
      <c r="E67" s="255" t="s">
        <v>435</v>
      </c>
      <c r="F67" s="256">
        <f>+[5]Pond!AF70</f>
        <v>30</v>
      </c>
      <c r="G67" s="255" t="s">
        <v>436</v>
      </c>
      <c r="H67" s="255" t="s">
        <v>437</v>
      </c>
      <c r="I67" s="257" t="s">
        <v>438</v>
      </c>
      <c r="J67" s="258">
        <f>+[5]Pond!AF71</f>
        <v>100</v>
      </c>
      <c r="K67" s="83" t="s">
        <v>439</v>
      </c>
      <c r="L67" s="99">
        <v>20</v>
      </c>
      <c r="M67" s="83" t="s">
        <v>440</v>
      </c>
      <c r="N67" s="83" t="s">
        <v>441</v>
      </c>
      <c r="O67" s="83" t="s">
        <v>73</v>
      </c>
      <c r="P67" s="85">
        <v>100</v>
      </c>
      <c r="Q67" s="85">
        <v>100</v>
      </c>
      <c r="R67" s="85">
        <v>100</v>
      </c>
      <c r="S67" s="85">
        <v>100</v>
      </c>
      <c r="T67" s="85">
        <v>100</v>
      </c>
      <c r="U67" s="86" t="s">
        <v>442</v>
      </c>
      <c r="V67" s="94" t="str">
        <f>+M67</f>
        <v>Porcentaje de municipios asesorados o asistidos en la inclusión del componente ambiental en los procesos de planificación y ordenamiento territorial, con énfasis en la incorporación de las determinantes ambientales para la revisión y ajuste de los POT.(IMG Res.667/16)</v>
      </c>
      <c r="W67" s="88" t="s">
        <v>443</v>
      </c>
      <c r="X67" s="89" t="s">
        <v>444</v>
      </c>
      <c r="Y67" s="90"/>
      <c r="Z67" s="90"/>
      <c r="AA67" s="237">
        <f>+'[5]Gastos por fuentes 2024'!D159</f>
        <v>210353000</v>
      </c>
      <c r="AB67" s="237"/>
      <c r="AC67" s="237"/>
      <c r="AD67" s="237">
        <f>SUM(AA67:AC67)</f>
        <v>210353000</v>
      </c>
      <c r="AE67" s="237">
        <f>+EVEN(AA67*3%+AA67)+100000000</f>
        <v>316663590</v>
      </c>
      <c r="AF67" s="237"/>
      <c r="AG67" s="237"/>
      <c r="AH67" s="237">
        <f>SUM(AE67:AG67)</f>
        <v>316663590</v>
      </c>
      <c r="AI67" s="237">
        <f>+EVEN(AE67*10%+AE67)-100000000</f>
        <v>248329950</v>
      </c>
      <c r="AJ67" s="237"/>
      <c r="AK67" s="237"/>
      <c r="AL67" s="237">
        <f>SUM(AI67:AK67)</f>
        <v>248329950</v>
      </c>
      <c r="AM67" s="237">
        <f>+EVEN(AI67*10%+AI67)</f>
        <v>273162946</v>
      </c>
      <c r="AN67" s="237"/>
      <c r="AO67" s="237"/>
      <c r="AP67" s="238">
        <f>SUM(AM67:AO67)</f>
        <v>273162946</v>
      </c>
      <c r="AQ67" s="237">
        <f t="shared" si="18"/>
        <v>1048509486</v>
      </c>
      <c r="AR67" s="237">
        <f t="shared" si="18"/>
        <v>0</v>
      </c>
      <c r="AS67" s="237">
        <f t="shared" si="18"/>
        <v>0</v>
      </c>
      <c r="AT67" s="237">
        <f t="shared" si="18"/>
        <v>1048509486</v>
      </c>
      <c r="AU67" s="115" t="s">
        <v>61</v>
      </c>
      <c r="AV67" s="83" t="s">
        <v>196</v>
      </c>
      <c r="AW67" s="83" t="s">
        <v>197</v>
      </c>
      <c r="AX67" s="117" t="s">
        <v>445</v>
      </c>
      <c r="AY67" s="117" t="s">
        <v>65</v>
      </c>
      <c r="AZ67" s="96" t="s">
        <v>297</v>
      </c>
      <c r="BA67" s="234" t="s">
        <v>377</v>
      </c>
      <c r="BB67" s="93" t="s">
        <v>68</v>
      </c>
      <c r="BC67" s="93" t="s">
        <v>152</v>
      </c>
      <c r="BD67" s="93" t="s">
        <v>70</v>
      </c>
    </row>
    <row r="68" spans="1:56" s="69" customFormat="1" ht="48" x14ac:dyDescent="0.2">
      <c r="A68" s="246"/>
      <c r="B68" s="246"/>
      <c r="C68" s="248"/>
      <c r="D68" s="249"/>
      <c r="E68" s="255"/>
      <c r="F68" s="256"/>
      <c r="G68" s="255"/>
      <c r="H68" s="255"/>
      <c r="I68" s="257"/>
      <c r="J68" s="258"/>
      <c r="K68" s="83" t="s">
        <v>446</v>
      </c>
      <c r="L68" s="99">
        <v>20</v>
      </c>
      <c r="M68" s="83" t="s">
        <v>447</v>
      </c>
      <c r="N68" s="83" t="s">
        <v>57</v>
      </c>
      <c r="O68" s="83" t="s">
        <v>104</v>
      </c>
      <c r="P68" s="85">
        <v>16</v>
      </c>
      <c r="Q68" s="85">
        <v>16</v>
      </c>
      <c r="R68" s="85">
        <v>16</v>
      </c>
      <c r="S68" s="85">
        <v>16</v>
      </c>
      <c r="T68" s="85">
        <f>SUM(P68:S68)</f>
        <v>64</v>
      </c>
      <c r="U68" s="86" t="s">
        <v>448</v>
      </c>
      <c r="V68" s="87"/>
      <c r="W68" s="88" t="s">
        <v>449</v>
      </c>
      <c r="X68" s="89" t="s">
        <v>450</v>
      </c>
      <c r="Y68" s="90"/>
      <c r="Z68" s="90"/>
      <c r="AA68" s="237"/>
      <c r="AB68" s="237"/>
      <c r="AC68" s="237"/>
      <c r="AD68" s="237"/>
      <c r="AE68" s="237"/>
      <c r="AF68" s="237"/>
      <c r="AG68" s="237"/>
      <c r="AH68" s="237"/>
      <c r="AI68" s="237"/>
      <c r="AJ68" s="237"/>
      <c r="AK68" s="237"/>
      <c r="AL68" s="237"/>
      <c r="AM68" s="237"/>
      <c r="AN68" s="237"/>
      <c r="AO68" s="237"/>
      <c r="AP68" s="238"/>
      <c r="AQ68" s="237"/>
      <c r="AR68" s="237"/>
      <c r="AS68" s="237"/>
      <c r="AT68" s="237"/>
      <c r="AU68" s="115" t="s">
        <v>61</v>
      </c>
      <c r="AV68" s="83" t="s">
        <v>85</v>
      </c>
      <c r="AW68" s="83" t="s">
        <v>85</v>
      </c>
      <c r="AX68" s="117" t="s">
        <v>445</v>
      </c>
      <c r="AY68" s="117" t="s">
        <v>65</v>
      </c>
      <c r="AZ68" s="96" t="s">
        <v>297</v>
      </c>
      <c r="BA68" s="234"/>
      <c r="BB68" s="93" t="s">
        <v>68</v>
      </c>
      <c r="BC68" s="93" t="s">
        <v>152</v>
      </c>
      <c r="BD68" s="93" t="s">
        <v>70</v>
      </c>
    </row>
    <row r="69" spans="1:56" s="69" customFormat="1" ht="144" x14ac:dyDescent="0.2">
      <c r="A69" s="246"/>
      <c r="B69" s="246"/>
      <c r="C69" s="248"/>
      <c r="D69" s="249"/>
      <c r="E69" s="255"/>
      <c r="F69" s="256"/>
      <c r="G69" s="255"/>
      <c r="H69" s="255"/>
      <c r="I69" s="257"/>
      <c r="J69" s="258"/>
      <c r="K69" s="83" t="s">
        <v>451</v>
      </c>
      <c r="L69" s="99">
        <v>20</v>
      </c>
      <c r="M69" s="83" t="s">
        <v>452</v>
      </c>
      <c r="N69" s="83" t="s">
        <v>453</v>
      </c>
      <c r="O69" s="83" t="s">
        <v>73</v>
      </c>
      <c r="P69" s="85">
        <v>100</v>
      </c>
      <c r="Q69" s="85">
        <v>100</v>
      </c>
      <c r="R69" s="85">
        <v>100</v>
      </c>
      <c r="S69" s="85">
        <v>100</v>
      </c>
      <c r="T69" s="85">
        <v>100</v>
      </c>
      <c r="U69" s="86" t="s">
        <v>448</v>
      </c>
      <c r="V69" s="94" t="str">
        <f>+M69</f>
        <v>Porcentaje de entes territoriales asesorados en la incorporación, planificación y ejecución de acciones relacionadas con cambio climático en el marco de los instrumentos de planificación territorial.(IMG Res.667/16)</v>
      </c>
      <c r="W69" s="88" t="s">
        <v>454</v>
      </c>
      <c r="X69" s="89" t="s">
        <v>455</v>
      </c>
      <c r="Y69" s="90"/>
      <c r="Z69" s="90"/>
      <c r="AA69" s="237"/>
      <c r="AB69" s="237"/>
      <c r="AC69" s="237"/>
      <c r="AD69" s="237"/>
      <c r="AE69" s="237"/>
      <c r="AF69" s="237"/>
      <c r="AG69" s="237"/>
      <c r="AH69" s="237"/>
      <c r="AI69" s="237"/>
      <c r="AJ69" s="237"/>
      <c r="AK69" s="237"/>
      <c r="AL69" s="237"/>
      <c r="AM69" s="237"/>
      <c r="AN69" s="237"/>
      <c r="AO69" s="237"/>
      <c r="AP69" s="238"/>
      <c r="AQ69" s="237"/>
      <c r="AR69" s="237"/>
      <c r="AS69" s="237"/>
      <c r="AT69" s="237"/>
      <c r="AU69" s="115" t="s">
        <v>61</v>
      </c>
      <c r="AV69" s="83" t="s">
        <v>196</v>
      </c>
      <c r="AW69" s="83" t="s">
        <v>197</v>
      </c>
      <c r="AX69" s="117" t="s">
        <v>445</v>
      </c>
      <c r="AY69" s="117" t="s">
        <v>65</v>
      </c>
      <c r="AZ69" s="96" t="s">
        <v>297</v>
      </c>
      <c r="BA69" s="234"/>
      <c r="BB69" s="93" t="s">
        <v>68</v>
      </c>
      <c r="BC69" s="93" t="s">
        <v>152</v>
      </c>
      <c r="BD69" s="93" t="s">
        <v>70</v>
      </c>
    </row>
    <row r="70" spans="1:56" s="69" customFormat="1" ht="48" x14ac:dyDescent="0.2">
      <c r="A70" s="246"/>
      <c r="B70" s="246"/>
      <c r="C70" s="248"/>
      <c r="D70" s="249"/>
      <c r="E70" s="255"/>
      <c r="F70" s="256"/>
      <c r="G70" s="255"/>
      <c r="H70" s="255"/>
      <c r="I70" s="257"/>
      <c r="J70" s="258"/>
      <c r="K70" s="83" t="s">
        <v>456</v>
      </c>
      <c r="L70" s="99">
        <v>20</v>
      </c>
      <c r="M70" s="120" t="s">
        <v>457</v>
      </c>
      <c r="N70" s="120" t="s">
        <v>57</v>
      </c>
      <c r="O70" s="83" t="s">
        <v>104</v>
      </c>
      <c r="P70" s="85">
        <v>12</v>
      </c>
      <c r="Q70" s="85">
        <v>12</v>
      </c>
      <c r="R70" s="85">
        <v>12</v>
      </c>
      <c r="S70" s="85">
        <v>12</v>
      </c>
      <c r="T70" s="85">
        <f>SUM(P70:S70)</f>
        <v>48</v>
      </c>
      <c r="U70" s="86" t="s">
        <v>458</v>
      </c>
      <c r="V70" s="87"/>
      <c r="W70" s="88" t="s">
        <v>459</v>
      </c>
      <c r="X70" s="89" t="s">
        <v>460</v>
      </c>
      <c r="Y70" s="90"/>
      <c r="Z70" s="90"/>
      <c r="AA70" s="237"/>
      <c r="AB70" s="237"/>
      <c r="AC70" s="237"/>
      <c r="AD70" s="237"/>
      <c r="AE70" s="237"/>
      <c r="AF70" s="237"/>
      <c r="AG70" s="237"/>
      <c r="AH70" s="237"/>
      <c r="AI70" s="237"/>
      <c r="AJ70" s="237"/>
      <c r="AK70" s="237"/>
      <c r="AL70" s="237"/>
      <c r="AM70" s="237"/>
      <c r="AN70" s="237"/>
      <c r="AO70" s="237"/>
      <c r="AP70" s="238"/>
      <c r="AQ70" s="237"/>
      <c r="AR70" s="237"/>
      <c r="AS70" s="237"/>
      <c r="AT70" s="237"/>
      <c r="AU70" s="115" t="s">
        <v>61</v>
      </c>
      <c r="AV70" s="83" t="s">
        <v>196</v>
      </c>
      <c r="AW70" s="83" t="s">
        <v>197</v>
      </c>
      <c r="AX70" s="117" t="s">
        <v>445</v>
      </c>
      <c r="AY70" s="117" t="s">
        <v>65</v>
      </c>
      <c r="AZ70" s="96" t="s">
        <v>297</v>
      </c>
      <c r="BA70" s="234"/>
      <c r="BB70" s="93" t="s">
        <v>68</v>
      </c>
      <c r="BC70" s="93" t="s">
        <v>152</v>
      </c>
      <c r="BD70" s="93" t="s">
        <v>70</v>
      </c>
    </row>
    <row r="71" spans="1:56" s="69" customFormat="1" ht="48" x14ac:dyDescent="0.2">
      <c r="A71" s="246"/>
      <c r="B71" s="246"/>
      <c r="C71" s="248"/>
      <c r="D71" s="249"/>
      <c r="E71" s="255"/>
      <c r="F71" s="256"/>
      <c r="G71" s="255"/>
      <c r="H71" s="255"/>
      <c r="I71" s="257"/>
      <c r="J71" s="258"/>
      <c r="K71" s="83" t="s">
        <v>461</v>
      </c>
      <c r="L71" s="99">
        <v>20</v>
      </c>
      <c r="M71" s="120" t="s">
        <v>462</v>
      </c>
      <c r="N71" s="120" t="s">
        <v>57</v>
      </c>
      <c r="O71" s="83" t="s">
        <v>73</v>
      </c>
      <c r="P71" s="85">
        <v>10</v>
      </c>
      <c r="Q71" s="85">
        <v>90</v>
      </c>
      <c r="R71" s="85"/>
      <c r="S71" s="85"/>
      <c r="T71" s="85">
        <v>100</v>
      </c>
      <c r="U71" s="86"/>
      <c r="V71" s="87"/>
      <c r="W71" s="90"/>
      <c r="X71" s="90"/>
      <c r="Y71" s="90"/>
      <c r="Z71" s="90"/>
      <c r="AA71" s="237"/>
      <c r="AB71" s="237"/>
      <c r="AC71" s="237"/>
      <c r="AD71" s="237"/>
      <c r="AE71" s="237"/>
      <c r="AF71" s="237"/>
      <c r="AG71" s="237"/>
      <c r="AH71" s="237"/>
      <c r="AI71" s="237"/>
      <c r="AJ71" s="237"/>
      <c r="AK71" s="237"/>
      <c r="AL71" s="237"/>
      <c r="AM71" s="237"/>
      <c r="AN71" s="237"/>
      <c r="AO71" s="237"/>
      <c r="AP71" s="238"/>
      <c r="AQ71" s="237"/>
      <c r="AR71" s="237"/>
      <c r="AS71" s="237"/>
      <c r="AT71" s="237"/>
      <c r="AU71" s="115" t="s">
        <v>61</v>
      </c>
      <c r="AV71" s="83" t="s">
        <v>85</v>
      </c>
      <c r="AW71" s="83" t="s">
        <v>85</v>
      </c>
      <c r="AX71" s="117" t="s">
        <v>445</v>
      </c>
      <c r="AY71" s="117" t="s">
        <v>65</v>
      </c>
      <c r="AZ71" s="96" t="s">
        <v>297</v>
      </c>
      <c r="BA71" s="234"/>
      <c r="BB71" s="93" t="s">
        <v>68</v>
      </c>
      <c r="BC71" s="93" t="s">
        <v>152</v>
      </c>
      <c r="BD71" s="93" t="s">
        <v>70</v>
      </c>
    </row>
    <row r="72" spans="1:56" s="69" customFormat="1" ht="38.4" x14ac:dyDescent="0.2">
      <c r="A72" s="246"/>
      <c r="B72" s="246"/>
      <c r="C72" s="248"/>
      <c r="D72" s="249"/>
      <c r="E72" s="255" t="s">
        <v>463</v>
      </c>
      <c r="F72" s="256">
        <f>+[5]Pond!AF72</f>
        <v>22</v>
      </c>
      <c r="G72" s="255" t="s">
        <v>436</v>
      </c>
      <c r="H72" s="255" t="s">
        <v>464</v>
      </c>
      <c r="I72" s="257" t="s">
        <v>465</v>
      </c>
      <c r="J72" s="258">
        <f>+[5]Pond!AF73</f>
        <v>100</v>
      </c>
      <c r="K72" s="83" t="s">
        <v>466</v>
      </c>
      <c r="L72" s="99">
        <v>40</v>
      </c>
      <c r="M72" s="83" t="s">
        <v>467</v>
      </c>
      <c r="N72" s="83" t="s">
        <v>57</v>
      </c>
      <c r="O72" s="83" t="s">
        <v>89</v>
      </c>
      <c r="P72" s="85">
        <v>65</v>
      </c>
      <c r="Q72" s="85">
        <v>65</v>
      </c>
      <c r="R72" s="85">
        <v>65</v>
      </c>
      <c r="S72" s="85">
        <v>65</v>
      </c>
      <c r="T72" s="85">
        <v>65</v>
      </c>
      <c r="U72" s="86"/>
      <c r="V72" s="87"/>
      <c r="W72" s="90"/>
      <c r="X72" s="90"/>
      <c r="Y72" s="90"/>
      <c r="Z72" s="90"/>
      <c r="AA72" s="301">
        <f>+'[5]Gastos por fuentes 2024'!D161</f>
        <v>149780821</v>
      </c>
      <c r="AB72" s="301"/>
      <c r="AC72" s="301"/>
      <c r="AD72" s="301">
        <f>SUM(AA72:AC72)</f>
        <v>149780821</v>
      </c>
      <c r="AE72" s="301">
        <f>+EVEN(AA72*3%+AA72)</f>
        <v>154274246</v>
      </c>
      <c r="AF72" s="301"/>
      <c r="AG72" s="301"/>
      <c r="AH72" s="301">
        <f>SUM(AE72:AG72)</f>
        <v>154274246</v>
      </c>
      <c r="AI72" s="237">
        <f>+EVEN(AE72*10%+AE72)</f>
        <v>169701672</v>
      </c>
      <c r="AJ72" s="301"/>
      <c r="AK72" s="301"/>
      <c r="AL72" s="301">
        <f>SUM(AI72:AK72)</f>
        <v>169701672</v>
      </c>
      <c r="AM72" s="237">
        <f>+EVEN(AI72*10%+AI72)</f>
        <v>186671840</v>
      </c>
      <c r="AN72" s="301"/>
      <c r="AO72" s="301"/>
      <c r="AP72" s="302">
        <f>SUM(AM72:AO72)</f>
        <v>186671840</v>
      </c>
      <c r="AQ72" s="301">
        <f>+AA72+AE72+AI72+AM72</f>
        <v>660428579</v>
      </c>
      <c r="AR72" s="301">
        <f>+AB72+AF72+AJ72+AN72</f>
        <v>0</v>
      </c>
      <c r="AS72" s="301">
        <f>+AC72+AG72+AK72+AO72</f>
        <v>0</v>
      </c>
      <c r="AT72" s="301">
        <f>+AD72+AH72+AL72+AP72</f>
        <v>660428579</v>
      </c>
      <c r="AU72" s="134" t="s">
        <v>61</v>
      </c>
      <c r="AV72" s="83" t="s">
        <v>85</v>
      </c>
      <c r="AW72" s="83" t="s">
        <v>85</v>
      </c>
      <c r="AX72" s="135" t="s">
        <v>209</v>
      </c>
      <c r="AY72" s="117" t="s">
        <v>65</v>
      </c>
      <c r="AZ72" s="96" t="s">
        <v>297</v>
      </c>
      <c r="BA72" s="303"/>
      <c r="BB72" s="93" t="s">
        <v>130</v>
      </c>
      <c r="BC72" s="93" t="s">
        <v>131</v>
      </c>
      <c r="BD72" s="93" t="s">
        <v>132</v>
      </c>
    </row>
    <row r="73" spans="1:56" s="69" customFormat="1" ht="38.4" x14ac:dyDescent="0.2">
      <c r="A73" s="246"/>
      <c r="B73" s="246"/>
      <c r="C73" s="248"/>
      <c r="D73" s="249"/>
      <c r="E73" s="255"/>
      <c r="F73" s="256"/>
      <c r="G73" s="255"/>
      <c r="H73" s="255"/>
      <c r="I73" s="257"/>
      <c r="J73" s="258"/>
      <c r="K73" s="83" t="s">
        <v>468</v>
      </c>
      <c r="L73" s="99">
        <v>30</v>
      </c>
      <c r="M73" s="83" t="s">
        <v>469</v>
      </c>
      <c r="N73" s="83" t="s">
        <v>57</v>
      </c>
      <c r="O73" s="83" t="s">
        <v>81</v>
      </c>
      <c r="P73" s="85" t="s">
        <v>470</v>
      </c>
      <c r="Q73" s="85" t="s">
        <v>470</v>
      </c>
      <c r="R73" s="85" t="s">
        <v>470</v>
      </c>
      <c r="S73" s="85" t="s">
        <v>470</v>
      </c>
      <c r="T73" s="85" t="s">
        <v>470</v>
      </c>
      <c r="U73" s="86" t="s">
        <v>471</v>
      </c>
      <c r="V73" s="87"/>
      <c r="W73" s="90"/>
      <c r="X73" s="90"/>
      <c r="Y73" s="90"/>
      <c r="Z73" s="90"/>
      <c r="AA73" s="301"/>
      <c r="AB73" s="301"/>
      <c r="AC73" s="301"/>
      <c r="AD73" s="301"/>
      <c r="AE73" s="301"/>
      <c r="AF73" s="301"/>
      <c r="AG73" s="301"/>
      <c r="AH73" s="301"/>
      <c r="AI73" s="237">
        <f t="shared" ref="AI73:AI74" si="22">+EVEN(AE73*6%+AE73)</f>
        <v>0</v>
      </c>
      <c r="AJ73" s="301"/>
      <c r="AK73" s="301"/>
      <c r="AL73" s="301"/>
      <c r="AM73" s="237"/>
      <c r="AN73" s="301"/>
      <c r="AO73" s="301"/>
      <c r="AP73" s="302"/>
      <c r="AQ73" s="301"/>
      <c r="AR73" s="301"/>
      <c r="AS73" s="301"/>
      <c r="AT73" s="301"/>
      <c r="AU73" s="134" t="s">
        <v>61</v>
      </c>
      <c r="AV73" s="83" t="s">
        <v>85</v>
      </c>
      <c r="AW73" s="83" t="s">
        <v>85</v>
      </c>
      <c r="AX73" s="135" t="s">
        <v>209</v>
      </c>
      <c r="AY73" s="117" t="s">
        <v>65</v>
      </c>
      <c r="AZ73" s="96" t="s">
        <v>297</v>
      </c>
      <c r="BA73" s="303"/>
      <c r="BB73" s="93" t="s">
        <v>130</v>
      </c>
      <c r="BC73" s="93" t="s">
        <v>131</v>
      </c>
      <c r="BD73" s="93" t="s">
        <v>132</v>
      </c>
    </row>
    <row r="74" spans="1:56" s="69" customFormat="1" ht="38.4" x14ac:dyDescent="0.2">
      <c r="A74" s="246"/>
      <c r="B74" s="246"/>
      <c r="C74" s="248"/>
      <c r="D74" s="249"/>
      <c r="E74" s="255"/>
      <c r="F74" s="256"/>
      <c r="G74" s="255"/>
      <c r="H74" s="255"/>
      <c r="I74" s="257"/>
      <c r="J74" s="258"/>
      <c r="K74" s="83" t="s">
        <v>472</v>
      </c>
      <c r="L74" s="99">
        <v>30</v>
      </c>
      <c r="M74" s="83" t="s">
        <v>473</v>
      </c>
      <c r="N74" s="83" t="s">
        <v>57</v>
      </c>
      <c r="O74" s="83" t="s">
        <v>81</v>
      </c>
      <c r="P74" s="85">
        <v>100</v>
      </c>
      <c r="Q74" s="85">
        <v>100</v>
      </c>
      <c r="R74" s="85">
        <v>100</v>
      </c>
      <c r="S74" s="85">
        <v>100</v>
      </c>
      <c r="T74" s="85">
        <v>100</v>
      </c>
      <c r="U74" s="86" t="s">
        <v>474</v>
      </c>
      <c r="V74" s="87"/>
      <c r="W74" s="90"/>
      <c r="X74" s="90"/>
      <c r="Y74" s="90"/>
      <c r="Z74" s="90"/>
      <c r="AA74" s="301"/>
      <c r="AB74" s="301"/>
      <c r="AC74" s="301"/>
      <c r="AD74" s="301"/>
      <c r="AE74" s="301"/>
      <c r="AF74" s="301"/>
      <c r="AG74" s="301"/>
      <c r="AH74" s="301"/>
      <c r="AI74" s="237">
        <f t="shared" si="22"/>
        <v>0</v>
      </c>
      <c r="AJ74" s="301"/>
      <c r="AK74" s="301"/>
      <c r="AL74" s="301"/>
      <c r="AM74" s="237"/>
      <c r="AN74" s="301"/>
      <c r="AO74" s="301"/>
      <c r="AP74" s="302"/>
      <c r="AQ74" s="301"/>
      <c r="AR74" s="301"/>
      <c r="AS74" s="301"/>
      <c r="AT74" s="301"/>
      <c r="AU74" s="134" t="s">
        <v>61</v>
      </c>
      <c r="AV74" s="83" t="s">
        <v>85</v>
      </c>
      <c r="AW74" s="83" t="s">
        <v>85</v>
      </c>
      <c r="AX74" s="135" t="s">
        <v>209</v>
      </c>
      <c r="AY74" s="117" t="s">
        <v>65</v>
      </c>
      <c r="AZ74" s="96" t="s">
        <v>297</v>
      </c>
      <c r="BA74" s="303"/>
      <c r="BB74" s="93" t="s">
        <v>130</v>
      </c>
      <c r="BC74" s="93" t="s">
        <v>131</v>
      </c>
      <c r="BD74" s="93" t="s">
        <v>132</v>
      </c>
    </row>
    <row r="75" spans="1:56" s="69" customFormat="1" ht="105.6" x14ac:dyDescent="0.2">
      <c r="A75" s="246"/>
      <c r="B75" s="246"/>
      <c r="C75" s="248"/>
      <c r="D75" s="249"/>
      <c r="E75" s="255" t="s">
        <v>475</v>
      </c>
      <c r="F75" s="256">
        <f>+[5]Pond!AF74</f>
        <v>38</v>
      </c>
      <c r="G75" s="255" t="s">
        <v>436</v>
      </c>
      <c r="H75" s="110" t="s">
        <v>476</v>
      </c>
      <c r="I75" s="98" t="s">
        <v>477</v>
      </c>
      <c r="J75" s="99">
        <f>+[5]Pond!AF75</f>
        <v>41</v>
      </c>
      <c r="K75" s="83" t="s">
        <v>478</v>
      </c>
      <c r="L75" s="99">
        <v>100</v>
      </c>
      <c r="M75" s="83" t="s">
        <v>479</v>
      </c>
      <c r="N75" s="83" t="s">
        <v>209</v>
      </c>
      <c r="O75" s="119" t="s">
        <v>89</v>
      </c>
      <c r="P75" s="97">
        <v>70</v>
      </c>
      <c r="Q75" s="97">
        <v>70</v>
      </c>
      <c r="R75" s="97">
        <v>70</v>
      </c>
      <c r="S75" s="97">
        <v>70</v>
      </c>
      <c r="T75" s="97">
        <v>70</v>
      </c>
      <c r="U75" s="86"/>
      <c r="V75" s="94" t="str">
        <f>+M75</f>
        <v>Tiempo promedio de trámite para la resolución de autorizaciones ambientales otorgadas por la corporación (Consolidado Concesiones, Aprovechamiento Forestal, Licencias, Vertimientos y Emisiones Atmosféricas) (IMG Res.667/16)</v>
      </c>
      <c r="W75" s="90"/>
      <c r="X75" s="90"/>
      <c r="Y75" s="90"/>
      <c r="Z75" s="90"/>
      <c r="AA75" s="115">
        <f>+'[5]Gastos por fuentes 2024'!D163</f>
        <v>495528826</v>
      </c>
      <c r="AB75" s="115"/>
      <c r="AC75" s="115"/>
      <c r="AD75" s="115">
        <f>SUM(AA75:AC75)</f>
        <v>495528826</v>
      </c>
      <c r="AE75" s="115">
        <f>+EVEN(AA75*3%+AA75)</f>
        <v>510394692</v>
      </c>
      <c r="AF75" s="115"/>
      <c r="AG75" s="115"/>
      <c r="AH75" s="115">
        <f>SUM(AE75:AG75)</f>
        <v>510394692</v>
      </c>
      <c r="AI75" s="115">
        <f>+EVEN(AE75*10%+AE75)</f>
        <v>561434162</v>
      </c>
      <c r="AJ75" s="115"/>
      <c r="AK75" s="115"/>
      <c r="AL75" s="115">
        <f>SUM(AI75:AK75)</f>
        <v>561434162</v>
      </c>
      <c r="AM75" s="115">
        <f>+EVEN(AI75*10%+AI75)</f>
        <v>617577580</v>
      </c>
      <c r="AN75" s="115"/>
      <c r="AO75" s="115"/>
      <c r="AP75" s="116">
        <f>SUM(AM75:AO75)</f>
        <v>617577580</v>
      </c>
      <c r="AQ75" s="115">
        <f t="shared" ref="AQ75:AT84" si="23">+AA75+AE75+AI75+AM75</f>
        <v>2184935260</v>
      </c>
      <c r="AR75" s="115">
        <f t="shared" si="23"/>
        <v>0</v>
      </c>
      <c r="AS75" s="115">
        <f t="shared" si="23"/>
        <v>0</v>
      </c>
      <c r="AT75" s="115">
        <f t="shared" si="23"/>
        <v>2184935260</v>
      </c>
      <c r="AU75" s="115" t="s">
        <v>61</v>
      </c>
      <c r="AV75" s="83" t="s">
        <v>85</v>
      </c>
      <c r="AW75" s="83" t="s">
        <v>85</v>
      </c>
      <c r="AX75" s="117" t="s">
        <v>151</v>
      </c>
      <c r="AY75" s="117" t="s">
        <v>65</v>
      </c>
      <c r="AZ75" s="96" t="s">
        <v>297</v>
      </c>
      <c r="BA75" s="117"/>
      <c r="BB75" s="93" t="s">
        <v>130</v>
      </c>
      <c r="BC75" s="93" t="s">
        <v>131</v>
      </c>
      <c r="BD75" s="93" t="s">
        <v>132</v>
      </c>
    </row>
    <row r="76" spans="1:56" s="69" customFormat="1" ht="67.2" x14ac:dyDescent="0.2">
      <c r="A76" s="246"/>
      <c r="B76" s="246"/>
      <c r="C76" s="248"/>
      <c r="D76" s="249"/>
      <c r="E76" s="255"/>
      <c r="F76" s="256"/>
      <c r="G76" s="255"/>
      <c r="H76" s="255" t="s">
        <v>480</v>
      </c>
      <c r="I76" s="136" t="s">
        <v>481</v>
      </c>
      <c r="J76" s="85">
        <f>+[5]Pond!AF76</f>
        <v>40</v>
      </c>
      <c r="K76" s="94" t="s">
        <v>482</v>
      </c>
      <c r="L76" s="85">
        <v>100</v>
      </c>
      <c r="M76" s="94" t="s">
        <v>483</v>
      </c>
      <c r="N76" s="94" t="s">
        <v>209</v>
      </c>
      <c r="O76" s="104" t="s">
        <v>81</v>
      </c>
      <c r="P76" s="97">
        <v>100</v>
      </c>
      <c r="Q76" s="97">
        <v>100</v>
      </c>
      <c r="R76" s="97">
        <v>100</v>
      </c>
      <c r="S76" s="97">
        <v>100</v>
      </c>
      <c r="T76" s="97">
        <v>100</v>
      </c>
      <c r="U76" s="86" t="s">
        <v>484</v>
      </c>
      <c r="V76" s="94" t="str">
        <f>+M76</f>
        <v>Porcentaje de autorizaciones ambientales con seguimiento  (Consolidado Licencias Ambientales, Concesiones de Agua, Permisos de Aprovechamiento Forestal, Permisos de Emisiones Atmosféricas, Permisos de Vertimientos) (IMG Res. 667 /16)</v>
      </c>
      <c r="W76" s="90"/>
      <c r="X76" s="90"/>
      <c r="Y76" s="90"/>
      <c r="Z76" s="90"/>
      <c r="AA76" s="115">
        <f>+'[5]Gastos por fuentes 2024'!D164</f>
        <v>2105386174</v>
      </c>
      <c r="AB76" s="115"/>
      <c r="AC76" s="115"/>
      <c r="AD76" s="115">
        <f>SUM(AA76:AC76)</f>
        <v>2105386174</v>
      </c>
      <c r="AE76" s="115"/>
      <c r="AF76" s="115"/>
      <c r="AG76" s="115"/>
      <c r="AH76" s="115">
        <f>SUM(AE76:AG76)</f>
        <v>0</v>
      </c>
      <c r="AI76" s="115">
        <f>+EVEN(AE76*10%+AE76)</f>
        <v>0</v>
      </c>
      <c r="AJ76" s="115"/>
      <c r="AK76" s="115"/>
      <c r="AL76" s="115">
        <f>SUM(AI76:AK76)</f>
        <v>0</v>
      </c>
      <c r="AM76" s="115">
        <f>+EVEN(AI76*10%+AI76)</f>
        <v>0</v>
      </c>
      <c r="AN76" s="115"/>
      <c r="AO76" s="115"/>
      <c r="AP76" s="116">
        <f>SUM(AM76:AO76)</f>
        <v>0</v>
      </c>
      <c r="AQ76" s="115">
        <f t="shared" si="23"/>
        <v>2105386174</v>
      </c>
      <c r="AR76" s="115">
        <f t="shared" si="23"/>
        <v>0</v>
      </c>
      <c r="AS76" s="115">
        <f t="shared" si="23"/>
        <v>0</v>
      </c>
      <c r="AT76" s="115">
        <f t="shared" si="23"/>
        <v>2105386174</v>
      </c>
      <c r="AU76" s="115" t="s">
        <v>61</v>
      </c>
      <c r="AV76" s="83" t="s">
        <v>85</v>
      </c>
      <c r="AW76" s="83" t="s">
        <v>85</v>
      </c>
      <c r="AX76" s="117" t="s">
        <v>151</v>
      </c>
      <c r="AY76" s="117" t="s">
        <v>65</v>
      </c>
      <c r="AZ76" s="96" t="s">
        <v>297</v>
      </c>
      <c r="BA76" s="117"/>
      <c r="BB76" s="93" t="s">
        <v>130</v>
      </c>
      <c r="BC76" s="93" t="s">
        <v>131</v>
      </c>
      <c r="BD76" s="93" t="s">
        <v>132</v>
      </c>
    </row>
    <row r="77" spans="1:56" s="69" customFormat="1" ht="38.4" x14ac:dyDescent="0.2">
      <c r="A77" s="246"/>
      <c r="B77" s="246"/>
      <c r="C77" s="248"/>
      <c r="D77" s="249"/>
      <c r="E77" s="255"/>
      <c r="F77" s="256"/>
      <c r="G77" s="255"/>
      <c r="H77" s="255"/>
      <c r="I77" s="235" t="s">
        <v>485</v>
      </c>
      <c r="J77" s="236">
        <f>+[5]Pond!AF77</f>
        <v>19</v>
      </c>
      <c r="K77" s="94" t="s">
        <v>486</v>
      </c>
      <c r="L77" s="85">
        <v>50</v>
      </c>
      <c r="M77" s="94" t="s">
        <v>487</v>
      </c>
      <c r="N77" s="94" t="s">
        <v>488</v>
      </c>
      <c r="O77" s="94" t="s">
        <v>73</v>
      </c>
      <c r="P77" s="85"/>
      <c r="Q77" s="85">
        <v>100</v>
      </c>
      <c r="R77" s="85">
        <v>100</v>
      </c>
      <c r="S77" s="85">
        <v>100</v>
      </c>
      <c r="T77" s="85">
        <v>100</v>
      </c>
      <c r="U77" s="86" t="s">
        <v>427</v>
      </c>
      <c r="V77" s="94" t="str">
        <f>+M77</f>
        <v>Porcentaje de actualización y reporte de la información en el SIAC (IMG Res. 667 /16)</v>
      </c>
      <c r="W77" s="90"/>
      <c r="X77" s="90"/>
      <c r="Y77" s="90"/>
      <c r="Z77" s="90"/>
      <c r="AA77" s="260"/>
      <c r="AB77" s="260"/>
      <c r="AC77" s="260"/>
      <c r="AD77" s="260"/>
      <c r="AE77" s="237">
        <v>26000000</v>
      </c>
      <c r="AF77" s="260"/>
      <c r="AG77" s="260"/>
      <c r="AH77" s="260">
        <f t="shared" ref="AH77:AH78" si="24">SUM(AE77:AG77)</f>
        <v>26000000</v>
      </c>
      <c r="AI77" s="237">
        <f>+EVEN(AE77*10%+AE77)</f>
        <v>28600000</v>
      </c>
      <c r="AJ77" s="260"/>
      <c r="AK77" s="260"/>
      <c r="AL77" s="260">
        <f t="shared" ref="AL77:AL78" si="25">SUM(AI77:AK77)</f>
        <v>28600000</v>
      </c>
      <c r="AM77" s="237">
        <f>+EVEN(AI77*10%+AI77)</f>
        <v>31460000</v>
      </c>
      <c r="AN77" s="260"/>
      <c r="AO77" s="260"/>
      <c r="AP77" s="238">
        <f t="shared" ref="AP77" si="26">SUM(AM77:AO77)</f>
        <v>31460000</v>
      </c>
      <c r="AQ77" s="237">
        <f t="shared" si="23"/>
        <v>86060000</v>
      </c>
      <c r="AR77" s="260">
        <f t="shared" si="23"/>
        <v>0</v>
      </c>
      <c r="AS77" s="260">
        <f t="shared" si="23"/>
        <v>0</v>
      </c>
      <c r="AT77" s="237">
        <f t="shared" si="23"/>
        <v>86060000</v>
      </c>
      <c r="AU77" s="115" t="s">
        <v>61</v>
      </c>
      <c r="AV77" s="83" t="s">
        <v>85</v>
      </c>
      <c r="AW77" s="83" t="s">
        <v>85</v>
      </c>
      <c r="AX77" s="117" t="s">
        <v>209</v>
      </c>
      <c r="AY77" s="117" t="s">
        <v>65</v>
      </c>
      <c r="AZ77" s="96" t="s">
        <v>297</v>
      </c>
      <c r="BA77" s="234"/>
      <c r="BB77" s="93" t="s">
        <v>130</v>
      </c>
      <c r="BC77" s="93" t="s">
        <v>131</v>
      </c>
      <c r="BD77" s="93" t="s">
        <v>132</v>
      </c>
    </row>
    <row r="78" spans="1:56" s="69" customFormat="1" ht="38.4" x14ac:dyDescent="0.2">
      <c r="A78" s="246"/>
      <c r="B78" s="246"/>
      <c r="C78" s="248"/>
      <c r="D78" s="249"/>
      <c r="E78" s="255"/>
      <c r="F78" s="256"/>
      <c r="G78" s="255"/>
      <c r="H78" s="255"/>
      <c r="I78" s="235"/>
      <c r="J78" s="236"/>
      <c r="K78" s="94" t="s">
        <v>489</v>
      </c>
      <c r="L78" s="85">
        <v>50</v>
      </c>
      <c r="M78" s="94" t="s">
        <v>490</v>
      </c>
      <c r="N78" s="94" t="s">
        <v>429</v>
      </c>
      <c r="O78" s="94" t="s">
        <v>73</v>
      </c>
      <c r="P78" s="85"/>
      <c r="Q78" s="85">
        <v>100</v>
      </c>
      <c r="R78" s="85">
        <v>100</v>
      </c>
      <c r="S78" s="85">
        <v>100</v>
      </c>
      <c r="T78" s="85">
        <v>100</v>
      </c>
      <c r="U78" s="86" t="s">
        <v>430</v>
      </c>
      <c r="V78" s="94" t="str">
        <f>+M78</f>
        <v>Porcentaje de ejecución de acciones en gestión ambiental urbana (IMG Res. 667 /16)</v>
      </c>
      <c r="W78" s="90"/>
      <c r="X78" s="90"/>
      <c r="Y78" s="90"/>
      <c r="Z78" s="90"/>
      <c r="AA78" s="260"/>
      <c r="AB78" s="260"/>
      <c r="AC78" s="260"/>
      <c r="AD78" s="260"/>
      <c r="AE78" s="237"/>
      <c r="AF78" s="260"/>
      <c r="AG78" s="260"/>
      <c r="AH78" s="260">
        <f t="shared" si="24"/>
        <v>0</v>
      </c>
      <c r="AI78" s="237">
        <f t="shared" ref="AI78" si="27">+EVEN(AE78*3%+AE78)</f>
        <v>0</v>
      </c>
      <c r="AJ78" s="260"/>
      <c r="AK78" s="260"/>
      <c r="AL78" s="260">
        <f t="shared" si="25"/>
        <v>0</v>
      </c>
      <c r="AM78" s="237">
        <f t="shared" ref="AM78" si="28">+EVEN(AI78*3%+AI78)</f>
        <v>0</v>
      </c>
      <c r="AN78" s="260"/>
      <c r="AO78" s="260"/>
      <c r="AP78" s="238"/>
      <c r="AQ78" s="237">
        <f t="shared" si="23"/>
        <v>0</v>
      </c>
      <c r="AR78" s="260">
        <f t="shared" si="23"/>
        <v>0</v>
      </c>
      <c r="AS78" s="260">
        <f t="shared" si="23"/>
        <v>0</v>
      </c>
      <c r="AT78" s="237">
        <f t="shared" si="23"/>
        <v>0</v>
      </c>
      <c r="AU78" s="115" t="s">
        <v>61</v>
      </c>
      <c r="AV78" s="83" t="s">
        <v>85</v>
      </c>
      <c r="AW78" s="83" t="s">
        <v>85</v>
      </c>
      <c r="AX78" s="117" t="s">
        <v>491</v>
      </c>
      <c r="AY78" s="117" t="s">
        <v>65</v>
      </c>
      <c r="AZ78" s="96" t="s">
        <v>297</v>
      </c>
      <c r="BA78" s="234"/>
      <c r="BB78" s="93" t="s">
        <v>130</v>
      </c>
      <c r="BC78" s="93" t="s">
        <v>131</v>
      </c>
      <c r="BD78" s="93" t="s">
        <v>132</v>
      </c>
    </row>
    <row r="79" spans="1:56" s="69" customFormat="1" ht="76.8" x14ac:dyDescent="0.2">
      <c r="A79" s="246"/>
      <c r="B79" s="246"/>
      <c r="C79" s="248"/>
      <c r="D79" s="249"/>
      <c r="E79" s="255" t="s">
        <v>492</v>
      </c>
      <c r="F79" s="256">
        <f>+[5]Pond!AF78</f>
        <v>10</v>
      </c>
      <c r="G79" s="255" t="s">
        <v>436</v>
      </c>
      <c r="H79" s="255" t="s">
        <v>493</v>
      </c>
      <c r="I79" s="257" t="s">
        <v>494</v>
      </c>
      <c r="J79" s="258">
        <f>+[5]Pond!AF79</f>
        <v>60</v>
      </c>
      <c r="K79" s="83" t="s">
        <v>495</v>
      </c>
      <c r="L79" s="99">
        <v>40</v>
      </c>
      <c r="M79" s="83" t="s">
        <v>496</v>
      </c>
      <c r="N79" s="83" t="s">
        <v>57</v>
      </c>
      <c r="O79" s="83" t="s">
        <v>104</v>
      </c>
      <c r="P79" s="85">
        <v>2</v>
      </c>
      <c r="Q79" s="85">
        <v>2</v>
      </c>
      <c r="R79" s="85">
        <v>2</v>
      </c>
      <c r="S79" s="85">
        <v>2</v>
      </c>
      <c r="T79" s="85">
        <v>8</v>
      </c>
      <c r="U79" s="86" t="s">
        <v>497</v>
      </c>
      <c r="V79" s="87"/>
      <c r="W79" s="88" t="s">
        <v>498</v>
      </c>
      <c r="X79" s="89" t="s">
        <v>499</v>
      </c>
      <c r="Y79" s="90"/>
      <c r="Z79" s="90"/>
      <c r="AA79" s="297">
        <f>+'[5]Gastos por fuentes 2024'!D168</f>
        <v>104860000</v>
      </c>
      <c r="AB79" s="297"/>
      <c r="AC79" s="297"/>
      <c r="AD79" s="297">
        <f>SUM(AA79:AC79)</f>
        <v>104860000</v>
      </c>
      <c r="AE79" s="297">
        <f>+EVEN(AA79*3%+AA79)</f>
        <v>108005800</v>
      </c>
      <c r="AF79" s="297"/>
      <c r="AG79" s="297"/>
      <c r="AH79" s="297">
        <f>SUM(AE79:AG79)</f>
        <v>108005800</v>
      </c>
      <c r="AI79" s="299">
        <f>+EVEN(AE79*10%+AE79)</f>
        <v>118806380</v>
      </c>
      <c r="AJ79" s="297"/>
      <c r="AK79" s="297"/>
      <c r="AL79" s="297">
        <f>SUM(AI79:AK79)</f>
        <v>118806380</v>
      </c>
      <c r="AM79" s="299">
        <f>+EVEN(AI79*10%+AI79)</f>
        <v>130687018</v>
      </c>
      <c r="AN79" s="297"/>
      <c r="AO79" s="297"/>
      <c r="AP79" s="298">
        <f>SUM(AM79:AO79)</f>
        <v>130687018</v>
      </c>
      <c r="AQ79" s="297">
        <f t="shared" si="23"/>
        <v>462359198</v>
      </c>
      <c r="AR79" s="297">
        <f t="shared" si="23"/>
        <v>0</v>
      </c>
      <c r="AS79" s="297">
        <f t="shared" si="23"/>
        <v>0</v>
      </c>
      <c r="AT79" s="297">
        <f t="shared" si="23"/>
        <v>462359198</v>
      </c>
      <c r="AU79" s="130" t="s">
        <v>61</v>
      </c>
      <c r="AV79" s="94" t="s">
        <v>500</v>
      </c>
      <c r="AW79" s="94" t="s">
        <v>501</v>
      </c>
      <c r="AX79" s="96" t="s">
        <v>445</v>
      </c>
      <c r="AY79" s="117" t="s">
        <v>65</v>
      </c>
      <c r="AZ79" s="96" t="s">
        <v>297</v>
      </c>
      <c r="BA79" s="300"/>
      <c r="BB79" s="93" t="s">
        <v>68</v>
      </c>
      <c r="BC79" s="93" t="s">
        <v>107</v>
      </c>
      <c r="BD79" s="93" t="s">
        <v>70</v>
      </c>
    </row>
    <row r="80" spans="1:56" s="69" customFormat="1" ht="48" x14ac:dyDescent="0.2">
      <c r="A80" s="246"/>
      <c r="B80" s="246"/>
      <c r="C80" s="248"/>
      <c r="D80" s="249"/>
      <c r="E80" s="255"/>
      <c r="F80" s="256"/>
      <c r="G80" s="255"/>
      <c r="H80" s="255"/>
      <c r="I80" s="257"/>
      <c r="J80" s="258"/>
      <c r="K80" s="83" t="s">
        <v>502</v>
      </c>
      <c r="L80" s="99">
        <v>20</v>
      </c>
      <c r="M80" s="83" t="s">
        <v>503</v>
      </c>
      <c r="N80" s="83" t="s">
        <v>57</v>
      </c>
      <c r="O80" s="83" t="s">
        <v>104</v>
      </c>
      <c r="P80" s="85">
        <v>16</v>
      </c>
      <c r="Q80" s="85">
        <v>16</v>
      </c>
      <c r="R80" s="85">
        <v>16</v>
      </c>
      <c r="S80" s="85">
        <v>16</v>
      </c>
      <c r="T80" s="85">
        <v>64</v>
      </c>
      <c r="U80" s="86"/>
      <c r="V80" s="87"/>
      <c r="W80" s="90"/>
      <c r="X80" s="90"/>
      <c r="Y80" s="90"/>
      <c r="Z80" s="90"/>
      <c r="AA80" s="297"/>
      <c r="AB80" s="297"/>
      <c r="AC80" s="297"/>
      <c r="AD80" s="297"/>
      <c r="AE80" s="297"/>
      <c r="AF80" s="297"/>
      <c r="AG80" s="297"/>
      <c r="AH80" s="297"/>
      <c r="AI80" s="299">
        <f>+EVEN(AE80*6%+AE80)</f>
        <v>0</v>
      </c>
      <c r="AJ80" s="297"/>
      <c r="AK80" s="297"/>
      <c r="AL80" s="297"/>
      <c r="AM80" s="299">
        <f>+EVEN(AI80*6%+AI80)</f>
        <v>0</v>
      </c>
      <c r="AN80" s="297"/>
      <c r="AO80" s="297"/>
      <c r="AP80" s="298"/>
      <c r="AQ80" s="297">
        <f t="shared" si="23"/>
        <v>0</v>
      </c>
      <c r="AR80" s="297">
        <f t="shared" si="23"/>
        <v>0</v>
      </c>
      <c r="AS80" s="297">
        <f t="shared" si="23"/>
        <v>0</v>
      </c>
      <c r="AT80" s="297">
        <f t="shared" si="23"/>
        <v>0</v>
      </c>
      <c r="AU80" s="130" t="s">
        <v>61</v>
      </c>
      <c r="AV80" s="83" t="s">
        <v>85</v>
      </c>
      <c r="AW80" s="83" t="s">
        <v>85</v>
      </c>
      <c r="AX80" s="96" t="s">
        <v>445</v>
      </c>
      <c r="AY80" s="117" t="s">
        <v>65</v>
      </c>
      <c r="AZ80" s="96" t="s">
        <v>297</v>
      </c>
      <c r="BA80" s="300"/>
      <c r="BB80" s="93" t="s">
        <v>68</v>
      </c>
      <c r="BC80" s="93" t="s">
        <v>107</v>
      </c>
      <c r="BD80" s="93" t="s">
        <v>70</v>
      </c>
    </row>
    <row r="81" spans="1:56" s="69" customFormat="1" ht="57.6" x14ac:dyDescent="0.2">
      <c r="A81" s="246"/>
      <c r="B81" s="246"/>
      <c r="C81" s="248"/>
      <c r="D81" s="249"/>
      <c r="E81" s="255"/>
      <c r="F81" s="256"/>
      <c r="G81" s="255"/>
      <c r="H81" s="255"/>
      <c r="I81" s="257"/>
      <c r="J81" s="258"/>
      <c r="K81" s="83" t="s">
        <v>504</v>
      </c>
      <c r="L81" s="99">
        <v>20</v>
      </c>
      <c r="M81" s="83" t="s">
        <v>505</v>
      </c>
      <c r="N81" s="83" t="s">
        <v>57</v>
      </c>
      <c r="O81" s="83" t="s">
        <v>81</v>
      </c>
      <c r="P81" s="85">
        <v>100</v>
      </c>
      <c r="Q81" s="85">
        <v>100</v>
      </c>
      <c r="R81" s="85">
        <v>100</v>
      </c>
      <c r="S81" s="85">
        <v>100</v>
      </c>
      <c r="T81" s="85">
        <v>100</v>
      </c>
      <c r="U81" s="137"/>
      <c r="V81" s="138"/>
      <c r="W81" s="88" t="s">
        <v>506</v>
      </c>
      <c r="X81" s="89" t="s">
        <v>507</v>
      </c>
      <c r="Y81" s="90"/>
      <c r="Z81" s="90"/>
      <c r="AA81" s="297"/>
      <c r="AB81" s="297"/>
      <c r="AC81" s="297"/>
      <c r="AD81" s="297"/>
      <c r="AE81" s="297"/>
      <c r="AF81" s="297"/>
      <c r="AG81" s="297"/>
      <c r="AH81" s="297"/>
      <c r="AI81" s="299">
        <f>+EVEN(AE81*6%+AE81)</f>
        <v>0</v>
      </c>
      <c r="AJ81" s="297"/>
      <c r="AK81" s="297"/>
      <c r="AL81" s="297"/>
      <c r="AM81" s="299">
        <f>+EVEN(AI81*6%+AI81)</f>
        <v>0</v>
      </c>
      <c r="AN81" s="297"/>
      <c r="AO81" s="297"/>
      <c r="AP81" s="298"/>
      <c r="AQ81" s="297">
        <f t="shared" si="23"/>
        <v>0</v>
      </c>
      <c r="AR81" s="297">
        <f t="shared" si="23"/>
        <v>0</v>
      </c>
      <c r="AS81" s="297">
        <f t="shared" si="23"/>
        <v>0</v>
      </c>
      <c r="AT81" s="297">
        <f t="shared" si="23"/>
        <v>0</v>
      </c>
      <c r="AU81" s="130" t="s">
        <v>61</v>
      </c>
      <c r="AV81" s="83" t="s">
        <v>85</v>
      </c>
      <c r="AW81" s="83" t="s">
        <v>85</v>
      </c>
      <c r="AX81" s="96" t="s">
        <v>445</v>
      </c>
      <c r="AY81" s="117" t="s">
        <v>65</v>
      </c>
      <c r="AZ81" s="96" t="s">
        <v>297</v>
      </c>
      <c r="BA81" s="300"/>
      <c r="BB81" s="93" t="s">
        <v>68</v>
      </c>
      <c r="BC81" s="93" t="s">
        <v>107</v>
      </c>
      <c r="BD81" s="93" t="s">
        <v>70</v>
      </c>
    </row>
    <row r="82" spans="1:56" s="69" customFormat="1" ht="48" x14ac:dyDescent="0.2">
      <c r="A82" s="246"/>
      <c r="B82" s="246"/>
      <c r="C82" s="248"/>
      <c r="D82" s="249"/>
      <c r="E82" s="255"/>
      <c r="F82" s="256"/>
      <c r="G82" s="255"/>
      <c r="H82" s="255"/>
      <c r="I82" s="257"/>
      <c r="J82" s="258"/>
      <c r="K82" s="83" t="s">
        <v>508</v>
      </c>
      <c r="L82" s="99">
        <v>20</v>
      </c>
      <c r="M82" s="83" t="s">
        <v>509</v>
      </c>
      <c r="N82" s="83" t="s">
        <v>57</v>
      </c>
      <c r="O82" s="83" t="s">
        <v>81</v>
      </c>
      <c r="P82" s="85">
        <v>100</v>
      </c>
      <c r="Q82" s="85">
        <v>100</v>
      </c>
      <c r="R82" s="85">
        <v>100</v>
      </c>
      <c r="S82" s="85">
        <v>100</v>
      </c>
      <c r="T82" s="85">
        <v>100</v>
      </c>
      <c r="U82" s="86"/>
      <c r="V82" s="87"/>
      <c r="W82" s="90"/>
      <c r="X82" s="90"/>
      <c r="Y82" s="90"/>
      <c r="Z82" s="90"/>
      <c r="AA82" s="297"/>
      <c r="AB82" s="297"/>
      <c r="AC82" s="297"/>
      <c r="AD82" s="297"/>
      <c r="AE82" s="297"/>
      <c r="AF82" s="297"/>
      <c r="AG82" s="297"/>
      <c r="AH82" s="297"/>
      <c r="AI82" s="299">
        <f>+EVEN(AE82*6%+AE82)</f>
        <v>0</v>
      </c>
      <c r="AJ82" s="297"/>
      <c r="AK82" s="297"/>
      <c r="AL82" s="297"/>
      <c r="AM82" s="299">
        <f>+EVEN(AI82*6%+AI82)</f>
        <v>0</v>
      </c>
      <c r="AN82" s="297"/>
      <c r="AO82" s="297"/>
      <c r="AP82" s="298"/>
      <c r="AQ82" s="297">
        <f t="shared" si="23"/>
        <v>0</v>
      </c>
      <c r="AR82" s="297">
        <f t="shared" si="23"/>
        <v>0</v>
      </c>
      <c r="AS82" s="297">
        <f t="shared" si="23"/>
        <v>0</v>
      </c>
      <c r="AT82" s="297">
        <f t="shared" si="23"/>
        <v>0</v>
      </c>
      <c r="AU82" s="130" t="s">
        <v>61</v>
      </c>
      <c r="AV82" s="83" t="s">
        <v>85</v>
      </c>
      <c r="AW82" s="83" t="s">
        <v>85</v>
      </c>
      <c r="AX82" s="96" t="s">
        <v>445</v>
      </c>
      <c r="AY82" s="117" t="s">
        <v>65</v>
      </c>
      <c r="AZ82" s="96" t="s">
        <v>297</v>
      </c>
      <c r="BA82" s="300"/>
      <c r="BB82" s="93" t="s">
        <v>68</v>
      </c>
      <c r="BC82" s="93" t="s">
        <v>107</v>
      </c>
      <c r="BD82" s="93" t="s">
        <v>70</v>
      </c>
    </row>
    <row r="83" spans="1:56" s="69" customFormat="1" ht="55.8" x14ac:dyDescent="0.2">
      <c r="A83" s="246"/>
      <c r="B83" s="246"/>
      <c r="C83" s="248"/>
      <c r="D83" s="249"/>
      <c r="E83" s="255"/>
      <c r="F83" s="256"/>
      <c r="G83" s="255"/>
      <c r="H83" s="110" t="s">
        <v>510</v>
      </c>
      <c r="I83" s="98" t="s">
        <v>511</v>
      </c>
      <c r="J83" s="99">
        <f>+[5]Pond!AF80</f>
        <v>40</v>
      </c>
      <c r="K83" s="83" t="s">
        <v>512</v>
      </c>
      <c r="L83" s="99">
        <v>100</v>
      </c>
      <c r="M83" s="83" t="s">
        <v>513</v>
      </c>
      <c r="N83" s="83" t="s">
        <v>57</v>
      </c>
      <c r="O83" s="83" t="s">
        <v>104</v>
      </c>
      <c r="P83" s="85">
        <v>1</v>
      </c>
      <c r="Q83" s="85">
        <v>1</v>
      </c>
      <c r="R83" s="85">
        <v>1</v>
      </c>
      <c r="S83" s="85">
        <v>1</v>
      </c>
      <c r="T83" s="85">
        <v>4</v>
      </c>
      <c r="U83" s="86"/>
      <c r="V83" s="87"/>
      <c r="W83" s="88" t="s">
        <v>514</v>
      </c>
      <c r="X83" s="89" t="s">
        <v>515</v>
      </c>
      <c r="Y83" s="90"/>
      <c r="Z83" s="90"/>
      <c r="AA83" s="130">
        <f>+'[5]Gastos por fuentes 2024'!D169</f>
        <v>35140000</v>
      </c>
      <c r="AB83" s="130"/>
      <c r="AC83" s="130"/>
      <c r="AD83" s="130">
        <f>SUM(AA83:AC83)</f>
        <v>35140000</v>
      </c>
      <c r="AE83" s="130">
        <f>+EVEN(AA83*3%+AA83)</f>
        <v>36194200</v>
      </c>
      <c r="AF83" s="130"/>
      <c r="AG83" s="130"/>
      <c r="AH83" s="130">
        <f>SUM(AE83:AG83)</f>
        <v>36194200</v>
      </c>
      <c r="AI83" s="115">
        <f>+EVEN(AE83*10%+AE83)</f>
        <v>39813620</v>
      </c>
      <c r="AJ83" s="130"/>
      <c r="AK83" s="130"/>
      <c r="AL83" s="130">
        <f>SUM(AI83:AK83)</f>
        <v>39813620</v>
      </c>
      <c r="AM83" s="115">
        <f>+EVEN(AI83*10%+AI83)</f>
        <v>43794982</v>
      </c>
      <c r="AN83" s="130"/>
      <c r="AO83" s="130"/>
      <c r="AP83" s="131">
        <f>SUM(AM83:AO83)</f>
        <v>43794982</v>
      </c>
      <c r="AQ83" s="130">
        <f t="shared" si="23"/>
        <v>154942802</v>
      </c>
      <c r="AR83" s="130">
        <f t="shared" si="23"/>
        <v>0</v>
      </c>
      <c r="AS83" s="130">
        <f t="shared" si="23"/>
        <v>0</v>
      </c>
      <c r="AT83" s="130">
        <f t="shared" si="23"/>
        <v>154942802</v>
      </c>
      <c r="AU83" s="130" t="s">
        <v>61</v>
      </c>
      <c r="AV83" s="83" t="s">
        <v>85</v>
      </c>
      <c r="AW83" s="83" t="s">
        <v>85</v>
      </c>
      <c r="AX83" s="96" t="s">
        <v>445</v>
      </c>
      <c r="AY83" s="96" t="s">
        <v>127</v>
      </c>
      <c r="AZ83" s="96" t="s">
        <v>128</v>
      </c>
      <c r="BA83" s="96"/>
      <c r="BB83" s="93" t="s">
        <v>68</v>
      </c>
      <c r="BC83" s="93" t="s">
        <v>107</v>
      </c>
      <c r="BD83" s="93" t="s">
        <v>70</v>
      </c>
    </row>
    <row r="84" spans="1:56" s="69" customFormat="1" ht="48" x14ac:dyDescent="0.2">
      <c r="A84" s="246"/>
      <c r="B84" s="246"/>
      <c r="C84" s="248" t="s">
        <v>516</v>
      </c>
      <c r="D84" s="249">
        <v>4</v>
      </c>
      <c r="E84" s="255" t="s">
        <v>517</v>
      </c>
      <c r="F84" s="295">
        <f>+[5]Pond!AF86</f>
        <v>35</v>
      </c>
      <c r="G84" s="255" t="s">
        <v>518</v>
      </c>
      <c r="H84" s="255" t="s">
        <v>519</v>
      </c>
      <c r="I84" s="257" t="s">
        <v>520</v>
      </c>
      <c r="J84" s="258">
        <f>+[5]Pond!AF87</f>
        <v>100</v>
      </c>
      <c r="K84" s="83" t="s">
        <v>521</v>
      </c>
      <c r="L84" s="99">
        <v>65</v>
      </c>
      <c r="M84" s="83" t="s">
        <v>522</v>
      </c>
      <c r="N84" s="83" t="s">
        <v>523</v>
      </c>
      <c r="O84" s="119" t="s">
        <v>73</v>
      </c>
      <c r="P84" s="97">
        <v>100</v>
      </c>
      <c r="Q84" s="97">
        <v>100</v>
      </c>
      <c r="R84" s="97">
        <v>100</v>
      </c>
      <c r="S84" s="97">
        <v>100</v>
      </c>
      <c r="T84" s="97">
        <v>100</v>
      </c>
      <c r="U84" s="86" t="s">
        <v>524</v>
      </c>
      <c r="V84" s="94" t="str">
        <f>+M84</f>
        <v>Porcentaje de especies invasoras con medidas de prevención, control y manejo en ejecución. (IMG Res. 667/16)</v>
      </c>
      <c r="W84" s="88" t="s">
        <v>525</v>
      </c>
      <c r="X84" s="89" t="s">
        <v>526</v>
      </c>
      <c r="Y84" s="90"/>
      <c r="Z84" s="90"/>
      <c r="AA84" s="237">
        <f>+'[5]Gastos por fuentes 2024'!D177</f>
        <v>42971200</v>
      </c>
      <c r="AB84" s="237"/>
      <c r="AC84" s="237"/>
      <c r="AD84" s="237">
        <f>SUM(AA84:AC84)</f>
        <v>42971200</v>
      </c>
      <c r="AE84" s="237">
        <f>+EVEN(AA84*3%+AA84)+50000000</f>
        <v>94260336</v>
      </c>
      <c r="AF84" s="237"/>
      <c r="AG84" s="237"/>
      <c r="AH84" s="237">
        <f>SUM(AE84:AG84)</f>
        <v>94260336</v>
      </c>
      <c r="AI84" s="237">
        <f>+EVEN(AE84*10%+AE84)</f>
        <v>103686370</v>
      </c>
      <c r="AJ84" s="237"/>
      <c r="AK84" s="237"/>
      <c r="AL84" s="237">
        <f>SUM(AI84:AK84)</f>
        <v>103686370</v>
      </c>
      <c r="AM84" s="237">
        <f>+EVEN(AI84*10%+AI84)</f>
        <v>114055008</v>
      </c>
      <c r="AN84" s="237"/>
      <c r="AO84" s="237"/>
      <c r="AP84" s="238">
        <f>SUM(AM84:AO84)</f>
        <v>114055008</v>
      </c>
      <c r="AQ84" s="237">
        <f t="shared" si="23"/>
        <v>354972914</v>
      </c>
      <c r="AR84" s="237">
        <f t="shared" si="23"/>
        <v>0</v>
      </c>
      <c r="AS84" s="237">
        <f t="shared" si="23"/>
        <v>0</v>
      </c>
      <c r="AT84" s="237">
        <f t="shared" si="23"/>
        <v>354972914</v>
      </c>
      <c r="AU84" s="115" t="s">
        <v>61</v>
      </c>
      <c r="AV84" s="83" t="s">
        <v>527</v>
      </c>
      <c r="AW84" s="83" t="s">
        <v>528</v>
      </c>
      <c r="AX84" s="117" t="s">
        <v>64</v>
      </c>
      <c r="AY84" s="117" t="s">
        <v>127</v>
      </c>
      <c r="AZ84" s="117" t="s">
        <v>128</v>
      </c>
      <c r="BA84" s="234"/>
      <c r="BB84" s="93" t="s">
        <v>130</v>
      </c>
      <c r="BC84" s="93" t="s">
        <v>131</v>
      </c>
      <c r="BD84" s="93" t="s">
        <v>132</v>
      </c>
    </row>
    <row r="85" spans="1:56" s="69" customFormat="1" ht="38.4" x14ac:dyDescent="0.2">
      <c r="A85" s="246"/>
      <c r="B85" s="246"/>
      <c r="C85" s="248"/>
      <c r="D85" s="249"/>
      <c r="E85" s="255"/>
      <c r="F85" s="296"/>
      <c r="G85" s="255"/>
      <c r="H85" s="255"/>
      <c r="I85" s="257"/>
      <c r="J85" s="258"/>
      <c r="K85" s="94" t="s">
        <v>529</v>
      </c>
      <c r="L85" s="85">
        <v>35</v>
      </c>
      <c r="M85" s="83" t="s">
        <v>530</v>
      </c>
      <c r="N85" s="83" t="s">
        <v>57</v>
      </c>
      <c r="O85" s="119" t="s">
        <v>73</v>
      </c>
      <c r="P85" s="97">
        <v>100</v>
      </c>
      <c r="Q85" s="97">
        <v>100</v>
      </c>
      <c r="R85" s="97">
        <v>100</v>
      </c>
      <c r="S85" s="97">
        <v>100</v>
      </c>
      <c r="T85" s="97" t="s">
        <v>531</v>
      </c>
      <c r="U85" s="86" t="s">
        <v>532</v>
      </c>
      <c r="V85" s="87"/>
      <c r="W85" s="88"/>
      <c r="X85" s="89"/>
      <c r="Y85" s="90"/>
      <c r="Z85" s="90"/>
      <c r="AA85" s="237"/>
      <c r="AB85" s="237"/>
      <c r="AC85" s="237"/>
      <c r="AD85" s="237"/>
      <c r="AE85" s="237"/>
      <c r="AF85" s="237"/>
      <c r="AG85" s="237"/>
      <c r="AH85" s="237"/>
      <c r="AI85" s="237"/>
      <c r="AJ85" s="237"/>
      <c r="AK85" s="237"/>
      <c r="AL85" s="237"/>
      <c r="AM85" s="237"/>
      <c r="AN85" s="237"/>
      <c r="AO85" s="237"/>
      <c r="AP85" s="238"/>
      <c r="AQ85" s="237"/>
      <c r="AR85" s="237"/>
      <c r="AS85" s="237"/>
      <c r="AT85" s="237"/>
      <c r="AU85" s="115" t="s">
        <v>61</v>
      </c>
      <c r="AV85" s="83" t="s">
        <v>527</v>
      </c>
      <c r="AW85" s="94" t="s">
        <v>533</v>
      </c>
      <c r="AX85" s="117" t="s">
        <v>64</v>
      </c>
      <c r="AY85" s="117" t="s">
        <v>127</v>
      </c>
      <c r="AZ85" s="117" t="s">
        <v>128</v>
      </c>
      <c r="BA85" s="234"/>
      <c r="BB85" s="93" t="s">
        <v>130</v>
      </c>
      <c r="BC85" s="93" t="s">
        <v>131</v>
      </c>
      <c r="BD85" s="93" t="s">
        <v>132</v>
      </c>
    </row>
    <row r="86" spans="1:56" s="69" customFormat="1" ht="100.2" x14ac:dyDescent="0.2">
      <c r="A86" s="246"/>
      <c r="B86" s="246"/>
      <c r="C86" s="248"/>
      <c r="D86" s="249"/>
      <c r="E86" s="110" t="s">
        <v>534</v>
      </c>
      <c r="F86" s="114">
        <f>+[5]Pond!AF88</f>
        <v>34</v>
      </c>
      <c r="G86" s="110" t="s">
        <v>518</v>
      </c>
      <c r="H86" s="110" t="s">
        <v>535</v>
      </c>
      <c r="I86" s="98" t="s">
        <v>536</v>
      </c>
      <c r="J86" s="99">
        <f>+[5]Pond!AF89</f>
        <v>100</v>
      </c>
      <c r="K86" s="94" t="s">
        <v>537</v>
      </c>
      <c r="L86" s="85">
        <v>100</v>
      </c>
      <c r="M86" s="94" t="s">
        <v>538</v>
      </c>
      <c r="N86" s="94" t="s">
        <v>539</v>
      </c>
      <c r="O86" s="119" t="s">
        <v>73</v>
      </c>
      <c r="P86" s="97">
        <v>100</v>
      </c>
      <c r="Q86" s="97">
        <v>100</v>
      </c>
      <c r="R86" s="97">
        <v>100</v>
      </c>
      <c r="S86" s="97">
        <v>100</v>
      </c>
      <c r="T86" s="97">
        <v>100</v>
      </c>
      <c r="U86" s="86" t="s">
        <v>540</v>
      </c>
      <c r="V86" s="94" t="str">
        <f>+M86</f>
        <v>Implementación de acciones en manejo integrado de zonas costeras (IMG Res 667/16)</v>
      </c>
      <c r="W86" s="88" t="s">
        <v>541</v>
      </c>
      <c r="X86" s="89" t="s">
        <v>542</v>
      </c>
      <c r="Y86" s="90"/>
      <c r="Z86" s="90"/>
      <c r="AA86" s="115">
        <f>+'[5]Gastos por fuentes 2024'!D179</f>
        <v>100400000</v>
      </c>
      <c r="AB86" s="115"/>
      <c r="AC86" s="115"/>
      <c r="AD86" s="115">
        <f>SUM(AA86:AC86)</f>
        <v>100400000</v>
      </c>
      <c r="AE86" s="115">
        <f>+EVEN(AA86*3%+AA86)</f>
        <v>103412000</v>
      </c>
      <c r="AF86" s="115"/>
      <c r="AG86" s="115"/>
      <c r="AH86" s="115">
        <f>SUM(AE86:AG86)</f>
        <v>103412000</v>
      </c>
      <c r="AI86" s="115">
        <f>+EVEN(AE86*10%+AE86)</f>
        <v>113753200</v>
      </c>
      <c r="AJ86" s="115"/>
      <c r="AK86" s="115"/>
      <c r="AL86" s="115">
        <f>SUM(AI86:AK86)</f>
        <v>113753200</v>
      </c>
      <c r="AM86" s="115">
        <f>+EVEN(AI86*10%+AI86)</f>
        <v>125128520</v>
      </c>
      <c r="AN86" s="115"/>
      <c r="AO86" s="115"/>
      <c r="AP86" s="116">
        <f>SUM(AM86:AO86)</f>
        <v>125128520</v>
      </c>
      <c r="AQ86" s="115">
        <f t="shared" ref="AQ86:AT101" si="29">+AA86+AE86+AI86+AM86</f>
        <v>442693720</v>
      </c>
      <c r="AR86" s="115">
        <f t="shared" si="29"/>
        <v>0</v>
      </c>
      <c r="AS86" s="115">
        <f t="shared" si="29"/>
        <v>0</v>
      </c>
      <c r="AT86" s="115">
        <f t="shared" si="29"/>
        <v>442693720</v>
      </c>
      <c r="AU86" s="115" t="s">
        <v>61</v>
      </c>
      <c r="AV86" s="94" t="s">
        <v>543</v>
      </c>
      <c r="AW86" s="94" t="s">
        <v>544</v>
      </c>
      <c r="AX86" s="117" t="s">
        <v>269</v>
      </c>
      <c r="AY86" s="117" t="s">
        <v>127</v>
      </c>
      <c r="AZ86" s="117" t="s">
        <v>128</v>
      </c>
      <c r="BA86" s="117"/>
      <c r="BB86" s="93" t="s">
        <v>130</v>
      </c>
      <c r="BC86" s="93" t="s">
        <v>131</v>
      </c>
      <c r="BD86" s="93" t="s">
        <v>132</v>
      </c>
    </row>
    <row r="87" spans="1:56" s="69" customFormat="1" ht="104.4" x14ac:dyDescent="0.2">
      <c r="A87" s="247"/>
      <c r="B87" s="247"/>
      <c r="C87" s="248"/>
      <c r="D87" s="249"/>
      <c r="E87" s="110" t="s">
        <v>545</v>
      </c>
      <c r="F87" s="114">
        <f>+[5]Pond!AF90</f>
        <v>31</v>
      </c>
      <c r="G87" s="110" t="s">
        <v>518</v>
      </c>
      <c r="H87" s="110" t="s">
        <v>546</v>
      </c>
      <c r="I87" s="98" t="s">
        <v>547</v>
      </c>
      <c r="J87" s="99">
        <f>+[5]Pond!AF91</f>
        <v>100</v>
      </c>
      <c r="K87" s="83" t="s">
        <v>548</v>
      </c>
      <c r="L87" s="99">
        <v>100</v>
      </c>
      <c r="M87" s="83" t="s">
        <v>549</v>
      </c>
      <c r="N87" s="83" t="s">
        <v>57</v>
      </c>
      <c r="O87" s="83" t="s">
        <v>104</v>
      </c>
      <c r="P87" s="85">
        <v>1</v>
      </c>
      <c r="Q87" s="85">
        <v>1</v>
      </c>
      <c r="R87" s="85">
        <v>1</v>
      </c>
      <c r="S87" s="85">
        <v>1</v>
      </c>
      <c r="T87" s="85">
        <f>SUM(P87:S87)</f>
        <v>4</v>
      </c>
      <c r="U87" s="86"/>
      <c r="V87" s="87"/>
      <c r="W87" s="88" t="s">
        <v>550</v>
      </c>
      <c r="X87" s="89" t="s">
        <v>551</v>
      </c>
      <c r="Y87" s="90"/>
      <c r="Z87" s="90"/>
      <c r="AA87" s="115">
        <f>+'[5]Gastos por fuentes 2024'!D181</f>
        <v>118431200</v>
      </c>
      <c r="AB87" s="115"/>
      <c r="AC87" s="115"/>
      <c r="AD87" s="115">
        <f>SUM(AA87:AC87)</f>
        <v>118431200</v>
      </c>
      <c r="AE87" s="115">
        <f>ROUND(+'[5]TASA RETRIBUTIVA 2024'!T10,0)</f>
        <v>121486574</v>
      </c>
      <c r="AF87" s="115"/>
      <c r="AG87" s="115"/>
      <c r="AH87" s="115">
        <f>SUM(AE87:AG87)</f>
        <v>121486574</v>
      </c>
      <c r="AI87" s="115">
        <f>ROUND(+'[5]TASA RETRIBUTIVA 2024'!Y10,0)</f>
        <v>136064962</v>
      </c>
      <c r="AJ87" s="115"/>
      <c r="AK87" s="115"/>
      <c r="AL87" s="115">
        <f>SUM(AI87:AK87)</f>
        <v>136064962</v>
      </c>
      <c r="AM87" s="115">
        <f>+'[5]TASA RETRIBUTIVA 2024'!AD10</f>
        <v>152392757</v>
      </c>
      <c r="AN87" s="115"/>
      <c r="AO87" s="115"/>
      <c r="AP87" s="116">
        <f>SUM(AM87:AO87)</f>
        <v>152392757</v>
      </c>
      <c r="AQ87" s="115">
        <f t="shared" si="29"/>
        <v>528375493</v>
      </c>
      <c r="AR87" s="115">
        <f t="shared" si="29"/>
        <v>0</v>
      </c>
      <c r="AS87" s="115">
        <f t="shared" si="29"/>
        <v>0</v>
      </c>
      <c r="AT87" s="115">
        <f t="shared" si="29"/>
        <v>528375493</v>
      </c>
      <c r="AU87" s="115" t="s">
        <v>61</v>
      </c>
      <c r="AV87" s="83" t="s">
        <v>552</v>
      </c>
      <c r="AW87" s="83" t="s">
        <v>553</v>
      </c>
      <c r="AX87" s="117" t="s">
        <v>269</v>
      </c>
      <c r="AY87" s="117" t="s">
        <v>65</v>
      </c>
      <c r="AZ87" s="117" t="s">
        <v>297</v>
      </c>
      <c r="BA87" s="117"/>
      <c r="BB87" s="93" t="s">
        <v>68</v>
      </c>
      <c r="BC87" s="93" t="s">
        <v>152</v>
      </c>
      <c r="BD87" s="93" t="s">
        <v>70</v>
      </c>
    </row>
    <row r="88" spans="1:56" s="69" customFormat="1" ht="144" x14ac:dyDescent="0.2">
      <c r="A88" s="245" t="s">
        <v>554</v>
      </c>
      <c r="B88" s="245">
        <v>5</v>
      </c>
      <c r="C88" s="248" t="s">
        <v>555</v>
      </c>
      <c r="D88" s="249">
        <v>100</v>
      </c>
      <c r="E88" s="255" t="s">
        <v>556</v>
      </c>
      <c r="F88" s="256">
        <f>+[5]Pond!AF93</f>
        <v>40</v>
      </c>
      <c r="G88" s="255" t="s">
        <v>557</v>
      </c>
      <c r="H88" s="255" t="s">
        <v>558</v>
      </c>
      <c r="I88" s="257" t="s">
        <v>559</v>
      </c>
      <c r="J88" s="258">
        <f>+[5]Pond!AF94</f>
        <v>100</v>
      </c>
      <c r="K88" s="83" t="s">
        <v>560</v>
      </c>
      <c r="L88" s="99">
        <v>20</v>
      </c>
      <c r="M88" s="83" t="s">
        <v>561</v>
      </c>
      <c r="N88" s="83" t="s">
        <v>57</v>
      </c>
      <c r="O88" s="83" t="s">
        <v>58</v>
      </c>
      <c r="P88" s="85">
        <v>3</v>
      </c>
      <c r="Q88" s="85">
        <v>3</v>
      </c>
      <c r="R88" s="85">
        <v>3</v>
      </c>
      <c r="S88" s="85">
        <v>3</v>
      </c>
      <c r="T88" s="85">
        <v>3</v>
      </c>
      <c r="U88" s="86" t="s">
        <v>1058</v>
      </c>
      <c r="V88" s="87"/>
      <c r="W88" s="88" t="s">
        <v>562</v>
      </c>
      <c r="X88" s="89" t="s">
        <v>563</v>
      </c>
      <c r="Y88" s="89"/>
      <c r="Z88" s="90"/>
      <c r="AA88" s="292">
        <f>+'[5]Gastos por fuentes 2024'!D187+'[5]Gastos por fuentes 2024'!D189</f>
        <v>205820000</v>
      </c>
      <c r="AB88" s="292"/>
      <c r="AC88" s="292"/>
      <c r="AD88" s="292">
        <f>SUM(AA88:AC88)</f>
        <v>205820000</v>
      </c>
      <c r="AE88" s="292">
        <f>+AA88-50000000+186837920</f>
        <v>342657920</v>
      </c>
      <c r="AF88" s="292"/>
      <c r="AG88" s="292"/>
      <c r="AH88" s="292">
        <f>SUM(AE88:AG88)</f>
        <v>342657920</v>
      </c>
      <c r="AI88" s="289">
        <f>+EVEN(AE88*10%+AE88)</f>
        <v>376923712</v>
      </c>
      <c r="AJ88" s="292"/>
      <c r="AK88" s="292"/>
      <c r="AL88" s="292">
        <f>SUM(AI88:AK88)</f>
        <v>376923712</v>
      </c>
      <c r="AM88" s="289">
        <f>+EVEN(AI88*10%+AI88)</f>
        <v>414616084</v>
      </c>
      <c r="AN88" s="292"/>
      <c r="AO88" s="292"/>
      <c r="AP88" s="293">
        <f>SUM(AM88:AO88)</f>
        <v>414616084</v>
      </c>
      <c r="AQ88" s="292">
        <f t="shared" si="29"/>
        <v>1340017716</v>
      </c>
      <c r="AR88" s="292">
        <f t="shared" si="29"/>
        <v>0</v>
      </c>
      <c r="AS88" s="292">
        <f t="shared" si="29"/>
        <v>0</v>
      </c>
      <c r="AT88" s="292">
        <f t="shared" si="29"/>
        <v>1340017716</v>
      </c>
      <c r="AU88" s="109" t="s">
        <v>61</v>
      </c>
      <c r="AV88" s="83" t="s">
        <v>564</v>
      </c>
      <c r="AW88" s="83" t="s">
        <v>565</v>
      </c>
      <c r="AX88" s="139" t="s">
        <v>566</v>
      </c>
      <c r="AY88" s="117" t="s">
        <v>65</v>
      </c>
      <c r="AZ88" s="117" t="s">
        <v>297</v>
      </c>
      <c r="BA88" s="294" t="s">
        <v>567</v>
      </c>
      <c r="BB88" s="93" t="s">
        <v>68</v>
      </c>
      <c r="BC88" s="93" t="s">
        <v>107</v>
      </c>
      <c r="BD88" s="93" t="s">
        <v>70</v>
      </c>
    </row>
    <row r="89" spans="1:56" s="69" customFormat="1" ht="48" x14ac:dyDescent="0.2">
      <c r="A89" s="246"/>
      <c r="B89" s="246"/>
      <c r="C89" s="248"/>
      <c r="D89" s="249"/>
      <c r="E89" s="255"/>
      <c r="F89" s="256"/>
      <c r="G89" s="255"/>
      <c r="H89" s="255"/>
      <c r="I89" s="257"/>
      <c r="J89" s="258"/>
      <c r="K89" s="83" t="s">
        <v>568</v>
      </c>
      <c r="L89" s="99">
        <v>20</v>
      </c>
      <c r="M89" s="83" t="s">
        <v>569</v>
      </c>
      <c r="N89" s="83" t="s">
        <v>57</v>
      </c>
      <c r="O89" s="83" t="s">
        <v>58</v>
      </c>
      <c r="P89" s="85">
        <v>120</v>
      </c>
      <c r="Q89" s="85">
        <v>120</v>
      </c>
      <c r="R89" s="85">
        <v>120</v>
      </c>
      <c r="S89" s="85">
        <v>120</v>
      </c>
      <c r="T89" s="85">
        <f>SUM(P89:S89)</f>
        <v>480</v>
      </c>
      <c r="U89" s="86"/>
      <c r="V89" s="87"/>
      <c r="W89" s="88"/>
      <c r="X89" s="89"/>
      <c r="Y89" s="90"/>
      <c r="Z89" s="90"/>
      <c r="AA89" s="292"/>
      <c r="AB89" s="292"/>
      <c r="AC89" s="292"/>
      <c r="AD89" s="292"/>
      <c r="AE89" s="292"/>
      <c r="AF89" s="292"/>
      <c r="AG89" s="292"/>
      <c r="AH89" s="292"/>
      <c r="AI89" s="289">
        <f t="shared" ref="AI89:AI93" si="30">+EVEN(AE89*6%+AE89)</f>
        <v>0</v>
      </c>
      <c r="AJ89" s="292"/>
      <c r="AK89" s="292"/>
      <c r="AL89" s="292"/>
      <c r="AM89" s="289">
        <f t="shared" ref="AM89:AM93" si="31">+EVEN(AI89*6%+AI89)</f>
        <v>0</v>
      </c>
      <c r="AN89" s="292"/>
      <c r="AO89" s="292"/>
      <c r="AP89" s="293"/>
      <c r="AQ89" s="292">
        <f t="shared" si="29"/>
        <v>0</v>
      </c>
      <c r="AR89" s="292">
        <f t="shared" si="29"/>
        <v>0</v>
      </c>
      <c r="AS89" s="292">
        <f t="shared" si="29"/>
        <v>0</v>
      </c>
      <c r="AT89" s="292">
        <f t="shared" si="29"/>
        <v>0</v>
      </c>
      <c r="AU89" s="109" t="s">
        <v>61</v>
      </c>
      <c r="AV89" s="83" t="s">
        <v>564</v>
      </c>
      <c r="AW89" s="83" t="s">
        <v>565</v>
      </c>
      <c r="AX89" s="139" t="s">
        <v>566</v>
      </c>
      <c r="AY89" s="117" t="s">
        <v>65</v>
      </c>
      <c r="AZ89" s="117" t="s">
        <v>297</v>
      </c>
      <c r="BA89" s="294"/>
      <c r="BB89" s="93" t="s">
        <v>68</v>
      </c>
      <c r="BC89" s="93" t="s">
        <v>107</v>
      </c>
      <c r="BD89" s="93" t="s">
        <v>70</v>
      </c>
    </row>
    <row r="90" spans="1:56" s="69" customFormat="1" ht="48" x14ac:dyDescent="0.2">
      <c r="A90" s="246"/>
      <c r="B90" s="246"/>
      <c r="C90" s="248"/>
      <c r="D90" s="249"/>
      <c r="E90" s="255"/>
      <c r="F90" s="256"/>
      <c r="G90" s="255"/>
      <c r="H90" s="255"/>
      <c r="I90" s="257"/>
      <c r="J90" s="258"/>
      <c r="K90" s="83" t="s">
        <v>570</v>
      </c>
      <c r="L90" s="99">
        <v>20</v>
      </c>
      <c r="M90" s="83" t="s">
        <v>571</v>
      </c>
      <c r="N90" s="83" t="s">
        <v>57</v>
      </c>
      <c r="O90" s="83" t="s">
        <v>58</v>
      </c>
      <c r="P90" s="85">
        <v>1</v>
      </c>
      <c r="Q90" s="85"/>
      <c r="R90" s="85"/>
      <c r="S90" s="85"/>
      <c r="T90" s="85">
        <v>1</v>
      </c>
      <c r="U90" s="86"/>
      <c r="V90" s="87"/>
      <c r="W90" s="90"/>
      <c r="X90" s="90"/>
      <c r="Y90" s="90"/>
      <c r="Z90" s="90"/>
      <c r="AA90" s="292"/>
      <c r="AB90" s="292"/>
      <c r="AC90" s="292"/>
      <c r="AD90" s="292"/>
      <c r="AE90" s="292"/>
      <c r="AF90" s="292"/>
      <c r="AG90" s="292"/>
      <c r="AH90" s="292"/>
      <c r="AI90" s="289">
        <f t="shared" si="30"/>
        <v>0</v>
      </c>
      <c r="AJ90" s="292"/>
      <c r="AK90" s="292"/>
      <c r="AL90" s="292"/>
      <c r="AM90" s="289">
        <f t="shared" si="31"/>
        <v>0</v>
      </c>
      <c r="AN90" s="292"/>
      <c r="AO90" s="292"/>
      <c r="AP90" s="293"/>
      <c r="AQ90" s="292">
        <f t="shared" si="29"/>
        <v>0</v>
      </c>
      <c r="AR90" s="292">
        <f t="shared" si="29"/>
        <v>0</v>
      </c>
      <c r="AS90" s="292">
        <f t="shared" si="29"/>
        <v>0</v>
      </c>
      <c r="AT90" s="292">
        <f t="shared" si="29"/>
        <v>0</v>
      </c>
      <c r="AU90" s="109" t="s">
        <v>61</v>
      </c>
      <c r="AV90" s="83" t="s">
        <v>572</v>
      </c>
      <c r="AW90" s="83" t="s">
        <v>573</v>
      </c>
      <c r="AX90" s="139" t="s">
        <v>566</v>
      </c>
      <c r="AY90" s="117" t="s">
        <v>65</v>
      </c>
      <c r="AZ90" s="117" t="s">
        <v>297</v>
      </c>
      <c r="BA90" s="294"/>
      <c r="BB90" s="93" t="s">
        <v>68</v>
      </c>
      <c r="BC90" s="93" t="s">
        <v>107</v>
      </c>
      <c r="BD90" s="93" t="s">
        <v>70</v>
      </c>
    </row>
    <row r="91" spans="1:56" s="69" customFormat="1" ht="48" x14ac:dyDescent="0.2">
      <c r="A91" s="246"/>
      <c r="B91" s="246"/>
      <c r="C91" s="248"/>
      <c r="D91" s="249"/>
      <c r="E91" s="255"/>
      <c r="F91" s="256"/>
      <c r="G91" s="255"/>
      <c r="H91" s="255"/>
      <c r="I91" s="257"/>
      <c r="J91" s="258"/>
      <c r="K91" s="83" t="s">
        <v>574</v>
      </c>
      <c r="L91" s="99">
        <v>20</v>
      </c>
      <c r="M91" s="83" t="s">
        <v>575</v>
      </c>
      <c r="N91" s="83" t="s">
        <v>57</v>
      </c>
      <c r="O91" s="83" t="s">
        <v>58</v>
      </c>
      <c r="P91" s="85">
        <v>5</v>
      </c>
      <c r="Q91" s="85">
        <v>5</v>
      </c>
      <c r="R91" s="85">
        <v>5</v>
      </c>
      <c r="S91" s="85">
        <v>5</v>
      </c>
      <c r="T91" s="85">
        <f>SUM(P91:S91)</f>
        <v>20</v>
      </c>
      <c r="U91" s="86">
        <f>SUM(P91:S91)</f>
        <v>20</v>
      </c>
      <c r="V91" s="87"/>
      <c r="W91" s="90"/>
      <c r="X91" s="90"/>
      <c r="Y91" s="90"/>
      <c r="Z91" s="90"/>
      <c r="AA91" s="292"/>
      <c r="AB91" s="292"/>
      <c r="AC91" s="292"/>
      <c r="AD91" s="292"/>
      <c r="AE91" s="292"/>
      <c r="AF91" s="292"/>
      <c r="AG91" s="292"/>
      <c r="AH91" s="292"/>
      <c r="AI91" s="289">
        <f t="shared" si="30"/>
        <v>0</v>
      </c>
      <c r="AJ91" s="292"/>
      <c r="AK91" s="292"/>
      <c r="AL91" s="292"/>
      <c r="AM91" s="289">
        <f t="shared" si="31"/>
        <v>0</v>
      </c>
      <c r="AN91" s="292"/>
      <c r="AO91" s="292"/>
      <c r="AP91" s="293"/>
      <c r="AQ91" s="292">
        <f t="shared" si="29"/>
        <v>0</v>
      </c>
      <c r="AR91" s="292">
        <f t="shared" si="29"/>
        <v>0</v>
      </c>
      <c r="AS91" s="292">
        <f t="shared" si="29"/>
        <v>0</v>
      </c>
      <c r="AT91" s="292">
        <f t="shared" si="29"/>
        <v>0</v>
      </c>
      <c r="AU91" s="109" t="s">
        <v>61</v>
      </c>
      <c r="AV91" s="83" t="s">
        <v>576</v>
      </c>
      <c r="AW91" s="83" t="s">
        <v>577</v>
      </c>
      <c r="AX91" s="139" t="s">
        <v>566</v>
      </c>
      <c r="AY91" s="117" t="s">
        <v>65</v>
      </c>
      <c r="AZ91" s="117" t="s">
        <v>297</v>
      </c>
      <c r="BA91" s="294"/>
      <c r="BB91" s="93" t="s">
        <v>68</v>
      </c>
      <c r="BC91" s="93" t="s">
        <v>107</v>
      </c>
      <c r="BD91" s="93" t="s">
        <v>70</v>
      </c>
    </row>
    <row r="92" spans="1:56" s="69" customFormat="1" ht="48" x14ac:dyDescent="0.2">
      <c r="A92" s="246"/>
      <c r="B92" s="246"/>
      <c r="C92" s="248"/>
      <c r="D92" s="249"/>
      <c r="E92" s="255"/>
      <c r="F92" s="256"/>
      <c r="G92" s="255"/>
      <c r="H92" s="255"/>
      <c r="I92" s="257"/>
      <c r="J92" s="258"/>
      <c r="K92" s="94" t="s">
        <v>578</v>
      </c>
      <c r="L92" s="85">
        <v>10</v>
      </c>
      <c r="M92" s="94" t="s">
        <v>579</v>
      </c>
      <c r="N92" s="83" t="s">
        <v>57</v>
      </c>
      <c r="O92" s="94" t="s">
        <v>58</v>
      </c>
      <c r="P92" s="85"/>
      <c r="Q92" s="85">
        <v>30</v>
      </c>
      <c r="R92" s="85">
        <v>30</v>
      </c>
      <c r="S92" s="85">
        <v>30</v>
      </c>
      <c r="T92" s="85">
        <f>SUM(Q92:S92)</f>
        <v>90</v>
      </c>
      <c r="U92" s="86"/>
      <c r="V92" s="87"/>
      <c r="W92" s="90"/>
      <c r="X92" s="90"/>
      <c r="Y92" s="90"/>
      <c r="Z92" s="90"/>
      <c r="AA92" s="292"/>
      <c r="AB92" s="292"/>
      <c r="AC92" s="292"/>
      <c r="AD92" s="292"/>
      <c r="AE92" s="292"/>
      <c r="AF92" s="292"/>
      <c r="AG92" s="292"/>
      <c r="AH92" s="292"/>
      <c r="AI92" s="289">
        <f t="shared" si="30"/>
        <v>0</v>
      </c>
      <c r="AJ92" s="292"/>
      <c r="AK92" s="292"/>
      <c r="AL92" s="292"/>
      <c r="AM92" s="289">
        <f t="shared" si="31"/>
        <v>0</v>
      </c>
      <c r="AN92" s="292"/>
      <c r="AO92" s="292"/>
      <c r="AP92" s="293"/>
      <c r="AQ92" s="292">
        <f t="shared" si="29"/>
        <v>0</v>
      </c>
      <c r="AR92" s="292">
        <f t="shared" si="29"/>
        <v>0</v>
      </c>
      <c r="AS92" s="292">
        <f t="shared" si="29"/>
        <v>0</v>
      </c>
      <c r="AT92" s="292">
        <f t="shared" si="29"/>
        <v>0</v>
      </c>
      <c r="AU92" s="109" t="s">
        <v>61</v>
      </c>
      <c r="AV92" s="83" t="s">
        <v>576</v>
      </c>
      <c r="AW92" s="83" t="s">
        <v>577</v>
      </c>
      <c r="AX92" s="139" t="s">
        <v>566</v>
      </c>
      <c r="AY92" s="117" t="s">
        <v>65</v>
      </c>
      <c r="AZ92" s="117" t="s">
        <v>297</v>
      </c>
      <c r="BA92" s="294"/>
      <c r="BB92" s="93" t="s">
        <v>68</v>
      </c>
      <c r="BC92" s="93" t="s">
        <v>107</v>
      </c>
      <c r="BD92" s="93" t="s">
        <v>70</v>
      </c>
    </row>
    <row r="93" spans="1:56" s="69" customFormat="1" ht="48" x14ac:dyDescent="0.2">
      <c r="A93" s="246"/>
      <c r="B93" s="246"/>
      <c r="C93" s="248"/>
      <c r="D93" s="249"/>
      <c r="E93" s="255"/>
      <c r="F93" s="256"/>
      <c r="G93" s="255"/>
      <c r="H93" s="255"/>
      <c r="I93" s="257"/>
      <c r="J93" s="258"/>
      <c r="K93" s="83" t="s">
        <v>580</v>
      </c>
      <c r="L93" s="99">
        <v>10</v>
      </c>
      <c r="M93" s="83" t="s">
        <v>581</v>
      </c>
      <c r="N93" s="83" t="s">
        <v>57</v>
      </c>
      <c r="O93" s="83" t="s">
        <v>58</v>
      </c>
      <c r="P93" s="85"/>
      <c r="Q93" s="85">
        <v>10</v>
      </c>
      <c r="R93" s="85">
        <v>10</v>
      </c>
      <c r="S93" s="85">
        <v>10</v>
      </c>
      <c r="T93" s="85">
        <f>SUM(Q93:S93)</f>
        <v>30</v>
      </c>
      <c r="U93" s="86"/>
      <c r="V93" s="87"/>
      <c r="W93" s="90"/>
      <c r="X93" s="90"/>
      <c r="Y93" s="90"/>
      <c r="Z93" s="90"/>
      <c r="AA93" s="292"/>
      <c r="AB93" s="292"/>
      <c r="AC93" s="292"/>
      <c r="AD93" s="292"/>
      <c r="AE93" s="292"/>
      <c r="AF93" s="292"/>
      <c r="AG93" s="292"/>
      <c r="AH93" s="292"/>
      <c r="AI93" s="289">
        <f t="shared" si="30"/>
        <v>0</v>
      </c>
      <c r="AJ93" s="292"/>
      <c r="AK93" s="292"/>
      <c r="AL93" s="292"/>
      <c r="AM93" s="289">
        <f t="shared" si="31"/>
        <v>0</v>
      </c>
      <c r="AN93" s="292"/>
      <c r="AO93" s="292"/>
      <c r="AP93" s="293"/>
      <c r="AQ93" s="292">
        <f t="shared" si="29"/>
        <v>0</v>
      </c>
      <c r="AR93" s="292">
        <f t="shared" si="29"/>
        <v>0</v>
      </c>
      <c r="AS93" s="292">
        <f t="shared" si="29"/>
        <v>0</v>
      </c>
      <c r="AT93" s="292">
        <f t="shared" si="29"/>
        <v>0</v>
      </c>
      <c r="AU93" s="109" t="s">
        <v>61</v>
      </c>
      <c r="AV93" s="83" t="s">
        <v>576</v>
      </c>
      <c r="AW93" s="83" t="s">
        <v>577</v>
      </c>
      <c r="AX93" s="139" t="s">
        <v>566</v>
      </c>
      <c r="AY93" s="117" t="s">
        <v>65</v>
      </c>
      <c r="AZ93" s="117" t="s">
        <v>297</v>
      </c>
      <c r="BA93" s="294"/>
      <c r="BB93" s="93" t="s">
        <v>68</v>
      </c>
      <c r="BC93" s="93" t="s">
        <v>107</v>
      </c>
      <c r="BD93" s="93" t="s">
        <v>70</v>
      </c>
    </row>
    <row r="94" spans="1:56" s="69" customFormat="1" ht="115.2" x14ac:dyDescent="0.2">
      <c r="A94" s="246"/>
      <c r="B94" s="246"/>
      <c r="C94" s="248"/>
      <c r="D94" s="249"/>
      <c r="E94" s="255" t="s">
        <v>582</v>
      </c>
      <c r="F94" s="256">
        <f>+[5]Pond!AF95</f>
        <v>48</v>
      </c>
      <c r="G94" s="255" t="s">
        <v>557</v>
      </c>
      <c r="H94" s="255" t="s">
        <v>583</v>
      </c>
      <c r="I94" s="257" t="s">
        <v>584</v>
      </c>
      <c r="J94" s="258">
        <f>+[5]Pond!AF96</f>
        <v>100</v>
      </c>
      <c r="K94" s="83" t="s">
        <v>585</v>
      </c>
      <c r="L94" s="99">
        <v>25</v>
      </c>
      <c r="M94" s="83" t="s">
        <v>586</v>
      </c>
      <c r="N94" s="83" t="s">
        <v>57</v>
      </c>
      <c r="O94" s="98" t="s">
        <v>58</v>
      </c>
      <c r="P94" s="85">
        <v>45</v>
      </c>
      <c r="Q94" s="85">
        <v>45</v>
      </c>
      <c r="R94" s="85">
        <v>45</v>
      </c>
      <c r="S94" s="85">
        <v>45</v>
      </c>
      <c r="T94" s="85">
        <f t="shared" ref="T94:T98" si="32">SUM(P94:S94)</f>
        <v>180</v>
      </c>
      <c r="U94" s="86"/>
      <c r="V94" s="87"/>
      <c r="W94" s="88" t="s">
        <v>587</v>
      </c>
      <c r="X94" s="104" t="s">
        <v>588</v>
      </c>
      <c r="Y94" s="90"/>
      <c r="Z94" s="90"/>
      <c r="AA94" s="263">
        <f>+'[5]Gastos por fuentes 2024'!D188</f>
        <v>393568000</v>
      </c>
      <c r="AB94" s="263"/>
      <c r="AC94" s="263"/>
      <c r="AD94" s="263">
        <f>SUM(AA94:AC94)</f>
        <v>393568000</v>
      </c>
      <c r="AE94" s="263">
        <f>+EVEN(AA94*3%+AA94)</f>
        <v>405375040</v>
      </c>
      <c r="AF94" s="263"/>
      <c r="AG94" s="263"/>
      <c r="AH94" s="263">
        <f>SUM(AE94:AG94)</f>
        <v>405375040</v>
      </c>
      <c r="AI94" s="289">
        <f>+EVEN(AE94*10%+AE94)</f>
        <v>445912544</v>
      </c>
      <c r="AJ94" s="263"/>
      <c r="AK94" s="263"/>
      <c r="AL94" s="263">
        <f>SUM(AI94:AK94)</f>
        <v>445912544</v>
      </c>
      <c r="AM94" s="289">
        <f>+EVEN(AI94*10%+AI94)</f>
        <v>490503800</v>
      </c>
      <c r="AN94" s="263"/>
      <c r="AO94" s="263"/>
      <c r="AP94" s="290">
        <f>SUM(AM94:AO94)</f>
        <v>490503800</v>
      </c>
      <c r="AQ94" s="263">
        <f t="shared" si="29"/>
        <v>1735359384</v>
      </c>
      <c r="AR94" s="263">
        <f t="shared" si="29"/>
        <v>0</v>
      </c>
      <c r="AS94" s="263">
        <f t="shared" si="29"/>
        <v>0</v>
      </c>
      <c r="AT94" s="263">
        <f t="shared" si="29"/>
        <v>1735359384</v>
      </c>
      <c r="AU94" s="91" t="s">
        <v>61</v>
      </c>
      <c r="AV94" s="83" t="s">
        <v>564</v>
      </c>
      <c r="AW94" s="83" t="s">
        <v>589</v>
      </c>
      <c r="AX94" s="139" t="s">
        <v>566</v>
      </c>
      <c r="AY94" s="117" t="s">
        <v>65</v>
      </c>
      <c r="AZ94" s="117" t="s">
        <v>297</v>
      </c>
      <c r="BA94" s="287" t="s">
        <v>590</v>
      </c>
      <c r="BB94" s="93" t="s">
        <v>68</v>
      </c>
      <c r="BC94" s="93" t="s">
        <v>107</v>
      </c>
      <c r="BD94" s="93" t="s">
        <v>70</v>
      </c>
    </row>
    <row r="95" spans="1:56" s="69" customFormat="1" ht="48" x14ac:dyDescent="0.2">
      <c r="A95" s="246"/>
      <c r="B95" s="246"/>
      <c r="C95" s="248"/>
      <c r="D95" s="249"/>
      <c r="E95" s="255"/>
      <c r="F95" s="256"/>
      <c r="G95" s="255"/>
      <c r="H95" s="255"/>
      <c r="I95" s="257"/>
      <c r="J95" s="258"/>
      <c r="K95" s="83" t="s">
        <v>591</v>
      </c>
      <c r="L95" s="99">
        <v>25</v>
      </c>
      <c r="M95" s="83" t="s">
        <v>592</v>
      </c>
      <c r="N95" s="83" t="s">
        <v>57</v>
      </c>
      <c r="O95" s="140" t="s">
        <v>58</v>
      </c>
      <c r="P95" s="124">
        <v>20</v>
      </c>
      <c r="Q95" s="124">
        <v>20</v>
      </c>
      <c r="R95" s="124">
        <v>20</v>
      </c>
      <c r="S95" s="124">
        <v>20</v>
      </c>
      <c r="T95" s="124">
        <f t="shared" si="32"/>
        <v>80</v>
      </c>
      <c r="U95" s="104"/>
      <c r="V95" s="125"/>
      <c r="W95" s="88" t="s">
        <v>593</v>
      </c>
      <c r="X95" s="104" t="s">
        <v>594</v>
      </c>
      <c r="Y95" s="90"/>
      <c r="Z95" s="90"/>
      <c r="AA95" s="263"/>
      <c r="AB95" s="263"/>
      <c r="AC95" s="263"/>
      <c r="AD95" s="263"/>
      <c r="AE95" s="263"/>
      <c r="AF95" s="263"/>
      <c r="AG95" s="263"/>
      <c r="AH95" s="263"/>
      <c r="AI95" s="289"/>
      <c r="AJ95" s="263"/>
      <c r="AK95" s="263"/>
      <c r="AL95" s="263"/>
      <c r="AM95" s="289"/>
      <c r="AN95" s="263"/>
      <c r="AO95" s="263"/>
      <c r="AP95" s="290"/>
      <c r="AQ95" s="263">
        <f t="shared" si="29"/>
        <v>0</v>
      </c>
      <c r="AR95" s="263">
        <f t="shared" si="29"/>
        <v>0</v>
      </c>
      <c r="AS95" s="263">
        <f t="shared" si="29"/>
        <v>0</v>
      </c>
      <c r="AT95" s="263">
        <f t="shared" si="29"/>
        <v>0</v>
      </c>
      <c r="AU95" s="91" t="s">
        <v>61</v>
      </c>
      <c r="AV95" s="83" t="s">
        <v>564</v>
      </c>
      <c r="AW95" s="83" t="s">
        <v>589</v>
      </c>
      <c r="AX95" s="139" t="s">
        <v>566</v>
      </c>
      <c r="AY95" s="117" t="s">
        <v>65</v>
      </c>
      <c r="AZ95" s="117" t="s">
        <v>297</v>
      </c>
      <c r="BA95" s="287"/>
      <c r="BB95" s="93" t="s">
        <v>68</v>
      </c>
      <c r="BC95" s="93" t="s">
        <v>107</v>
      </c>
      <c r="BD95" s="93" t="s">
        <v>70</v>
      </c>
    </row>
    <row r="96" spans="1:56" s="69" customFormat="1" ht="48" x14ac:dyDescent="0.2">
      <c r="A96" s="246"/>
      <c r="B96" s="246"/>
      <c r="C96" s="248"/>
      <c r="D96" s="249"/>
      <c r="E96" s="255"/>
      <c r="F96" s="256"/>
      <c r="G96" s="255"/>
      <c r="H96" s="255"/>
      <c r="I96" s="257"/>
      <c r="J96" s="258"/>
      <c r="K96" s="83" t="s">
        <v>595</v>
      </c>
      <c r="L96" s="99">
        <v>25</v>
      </c>
      <c r="M96" s="83" t="s">
        <v>596</v>
      </c>
      <c r="N96" s="83" t="s">
        <v>57</v>
      </c>
      <c r="O96" s="140" t="s">
        <v>58</v>
      </c>
      <c r="P96" s="97">
        <v>3</v>
      </c>
      <c r="Q96" s="97">
        <v>3</v>
      </c>
      <c r="R96" s="97">
        <v>3</v>
      </c>
      <c r="S96" s="124">
        <v>3</v>
      </c>
      <c r="T96" s="124">
        <f t="shared" si="32"/>
        <v>12</v>
      </c>
      <c r="U96" s="104"/>
      <c r="V96" s="125"/>
      <c r="W96" s="90"/>
      <c r="X96" s="90"/>
      <c r="Y96" s="90"/>
      <c r="Z96" s="90"/>
      <c r="AA96" s="263"/>
      <c r="AB96" s="263"/>
      <c r="AC96" s="263"/>
      <c r="AD96" s="263"/>
      <c r="AE96" s="263"/>
      <c r="AF96" s="263"/>
      <c r="AG96" s="263"/>
      <c r="AH96" s="263"/>
      <c r="AI96" s="289"/>
      <c r="AJ96" s="263"/>
      <c r="AK96" s="263"/>
      <c r="AL96" s="263"/>
      <c r="AM96" s="289"/>
      <c r="AN96" s="263"/>
      <c r="AO96" s="263"/>
      <c r="AP96" s="290"/>
      <c r="AQ96" s="263">
        <f t="shared" si="29"/>
        <v>0</v>
      </c>
      <c r="AR96" s="263">
        <f t="shared" si="29"/>
        <v>0</v>
      </c>
      <c r="AS96" s="263">
        <f t="shared" si="29"/>
        <v>0</v>
      </c>
      <c r="AT96" s="263">
        <f t="shared" si="29"/>
        <v>0</v>
      </c>
      <c r="AU96" s="91" t="s">
        <v>61</v>
      </c>
      <c r="AV96" s="83" t="s">
        <v>564</v>
      </c>
      <c r="AW96" s="83" t="s">
        <v>589</v>
      </c>
      <c r="AX96" s="139" t="s">
        <v>566</v>
      </c>
      <c r="AY96" s="117" t="s">
        <v>65</v>
      </c>
      <c r="AZ96" s="117" t="s">
        <v>297</v>
      </c>
      <c r="BA96" s="287"/>
      <c r="BB96" s="93" t="s">
        <v>68</v>
      </c>
      <c r="BC96" s="93" t="s">
        <v>107</v>
      </c>
      <c r="BD96" s="93" t="s">
        <v>70</v>
      </c>
    </row>
    <row r="97" spans="1:56" s="69" customFormat="1" ht="48" x14ac:dyDescent="0.2">
      <c r="A97" s="246"/>
      <c r="B97" s="246"/>
      <c r="C97" s="248"/>
      <c r="D97" s="249"/>
      <c r="E97" s="255"/>
      <c r="F97" s="256"/>
      <c r="G97" s="255"/>
      <c r="H97" s="255"/>
      <c r="I97" s="257"/>
      <c r="J97" s="258"/>
      <c r="K97" s="83" t="s">
        <v>597</v>
      </c>
      <c r="L97" s="99">
        <v>25</v>
      </c>
      <c r="M97" s="83" t="s">
        <v>598</v>
      </c>
      <c r="N97" s="83" t="s">
        <v>57</v>
      </c>
      <c r="O97" s="140" t="s">
        <v>58</v>
      </c>
      <c r="P97" s="124">
        <v>4</v>
      </c>
      <c r="Q97" s="97">
        <v>4</v>
      </c>
      <c r="R97" s="97">
        <v>4</v>
      </c>
      <c r="S97" s="97">
        <v>4</v>
      </c>
      <c r="T97" s="124">
        <f t="shared" si="32"/>
        <v>16</v>
      </c>
      <c r="U97" s="104" t="s">
        <v>599</v>
      </c>
      <c r="V97" s="125"/>
      <c r="W97" s="88" t="s">
        <v>600</v>
      </c>
      <c r="X97" s="104" t="s">
        <v>601</v>
      </c>
      <c r="Y97" s="90"/>
      <c r="Z97" s="90"/>
      <c r="AA97" s="263"/>
      <c r="AB97" s="263"/>
      <c r="AC97" s="263"/>
      <c r="AD97" s="263"/>
      <c r="AE97" s="263"/>
      <c r="AF97" s="263"/>
      <c r="AG97" s="263"/>
      <c r="AH97" s="263"/>
      <c r="AI97" s="289"/>
      <c r="AJ97" s="263"/>
      <c r="AK97" s="263"/>
      <c r="AL97" s="263"/>
      <c r="AM97" s="289"/>
      <c r="AN97" s="263"/>
      <c r="AO97" s="263"/>
      <c r="AP97" s="290"/>
      <c r="AQ97" s="263">
        <f t="shared" si="29"/>
        <v>0</v>
      </c>
      <c r="AR97" s="263">
        <f t="shared" si="29"/>
        <v>0</v>
      </c>
      <c r="AS97" s="263">
        <f t="shared" si="29"/>
        <v>0</v>
      </c>
      <c r="AT97" s="263">
        <f t="shared" si="29"/>
        <v>0</v>
      </c>
      <c r="AU97" s="91" t="s">
        <v>61</v>
      </c>
      <c r="AV97" s="83" t="s">
        <v>602</v>
      </c>
      <c r="AW97" s="83" t="s">
        <v>603</v>
      </c>
      <c r="AX97" s="139" t="s">
        <v>566</v>
      </c>
      <c r="AY97" s="117" t="s">
        <v>65</v>
      </c>
      <c r="AZ97" s="117" t="s">
        <v>297</v>
      </c>
      <c r="BA97" s="287"/>
      <c r="BB97" s="93" t="s">
        <v>68</v>
      </c>
      <c r="BC97" s="93" t="s">
        <v>107</v>
      </c>
      <c r="BD97" s="93" t="s">
        <v>70</v>
      </c>
    </row>
    <row r="98" spans="1:56" s="69" customFormat="1" ht="105.6" x14ac:dyDescent="0.2">
      <c r="A98" s="246"/>
      <c r="B98" s="246"/>
      <c r="C98" s="248"/>
      <c r="D98" s="249"/>
      <c r="E98" s="253" t="s">
        <v>604</v>
      </c>
      <c r="F98" s="288">
        <f>+[5]Pond!AF97</f>
        <v>12</v>
      </c>
      <c r="G98" s="253" t="s">
        <v>557</v>
      </c>
      <c r="H98" s="255" t="s">
        <v>605</v>
      </c>
      <c r="I98" s="257" t="s">
        <v>606</v>
      </c>
      <c r="J98" s="258">
        <f>+[5]Pond!AF98</f>
        <v>100</v>
      </c>
      <c r="K98" s="83" t="s">
        <v>607</v>
      </c>
      <c r="L98" s="99">
        <v>40</v>
      </c>
      <c r="M98" s="88" t="s">
        <v>608</v>
      </c>
      <c r="N98" s="83" t="s">
        <v>57</v>
      </c>
      <c r="O98" s="90" t="s">
        <v>58</v>
      </c>
      <c r="P98" s="124">
        <v>16</v>
      </c>
      <c r="Q98" s="124">
        <v>16</v>
      </c>
      <c r="R98" s="124">
        <v>16</v>
      </c>
      <c r="S98" s="124">
        <v>16</v>
      </c>
      <c r="T98" s="124">
        <f t="shared" si="32"/>
        <v>64</v>
      </c>
      <c r="U98" s="104" t="s">
        <v>609</v>
      </c>
      <c r="V98" s="93"/>
      <c r="W98" s="88" t="s">
        <v>610</v>
      </c>
      <c r="X98" s="104" t="s">
        <v>611</v>
      </c>
      <c r="Y98" s="90"/>
      <c r="Z98" s="90"/>
      <c r="AA98" s="284">
        <f>+'[5]Gastos por fuentes 2024'!D190</f>
        <v>46184000</v>
      </c>
      <c r="AB98" s="284"/>
      <c r="AC98" s="284"/>
      <c r="AD98" s="286">
        <f>SUM(AA98:AC98)</f>
        <v>46184000</v>
      </c>
      <c r="AE98" s="284">
        <f>+EVEN(AA98*3%+AA98)</f>
        <v>47569520</v>
      </c>
      <c r="AF98" s="284"/>
      <c r="AG98" s="284"/>
      <c r="AH98" s="284">
        <f>SUM(AE98:AG98)</f>
        <v>47569520</v>
      </c>
      <c r="AI98" s="283">
        <f>+EVEN(AE98*10%+AE98)</f>
        <v>52326472</v>
      </c>
      <c r="AJ98" s="284"/>
      <c r="AK98" s="284"/>
      <c r="AL98" s="284">
        <f>SUM(AI98:AK98)</f>
        <v>52326472</v>
      </c>
      <c r="AM98" s="283">
        <f>+EVEN(AI98*10%+AI98)</f>
        <v>57559120</v>
      </c>
      <c r="AN98" s="284"/>
      <c r="AO98" s="284"/>
      <c r="AP98" s="285">
        <f>SUM(AM98:AO98)</f>
        <v>57559120</v>
      </c>
      <c r="AQ98" s="284">
        <f t="shared" si="29"/>
        <v>203639112</v>
      </c>
      <c r="AR98" s="284">
        <f t="shared" si="29"/>
        <v>0</v>
      </c>
      <c r="AS98" s="284">
        <f t="shared" si="29"/>
        <v>0</v>
      </c>
      <c r="AT98" s="284">
        <f t="shared" si="29"/>
        <v>203639112</v>
      </c>
      <c r="AU98" s="141" t="s">
        <v>61</v>
      </c>
      <c r="AV98" s="83" t="s">
        <v>576</v>
      </c>
      <c r="AW98" s="83" t="s">
        <v>577</v>
      </c>
      <c r="AX98" s="139" t="s">
        <v>566</v>
      </c>
      <c r="AY98" s="117" t="s">
        <v>65</v>
      </c>
      <c r="AZ98" s="117" t="s">
        <v>297</v>
      </c>
      <c r="BA98" s="291"/>
      <c r="BB98" s="93" t="s">
        <v>68</v>
      </c>
      <c r="BC98" s="93" t="s">
        <v>107</v>
      </c>
      <c r="BD98" s="93" t="s">
        <v>70</v>
      </c>
    </row>
    <row r="99" spans="1:56" s="69" customFormat="1" ht="48" x14ac:dyDescent="0.2">
      <c r="A99" s="246"/>
      <c r="B99" s="246"/>
      <c r="C99" s="248"/>
      <c r="D99" s="249"/>
      <c r="E99" s="253"/>
      <c r="F99" s="288"/>
      <c r="G99" s="253"/>
      <c r="H99" s="255"/>
      <c r="I99" s="257"/>
      <c r="J99" s="258"/>
      <c r="K99" s="88" t="s">
        <v>612</v>
      </c>
      <c r="L99" s="97">
        <v>30</v>
      </c>
      <c r="M99" s="88" t="s">
        <v>613</v>
      </c>
      <c r="N99" s="83" t="s">
        <v>57</v>
      </c>
      <c r="O99" s="90" t="s">
        <v>58</v>
      </c>
      <c r="P99" s="124">
        <v>24</v>
      </c>
      <c r="Q99" s="97">
        <v>50</v>
      </c>
      <c r="R99" s="97">
        <v>50</v>
      </c>
      <c r="S99" s="97">
        <v>50</v>
      </c>
      <c r="T99" s="124">
        <f>SUM(P99:S99)</f>
        <v>174</v>
      </c>
      <c r="U99" s="104"/>
      <c r="V99" s="125"/>
      <c r="W99" s="90"/>
      <c r="X99" s="90"/>
      <c r="Y99" s="90"/>
      <c r="Z99" s="90"/>
      <c r="AA99" s="284"/>
      <c r="AB99" s="284"/>
      <c r="AC99" s="284"/>
      <c r="AD99" s="286"/>
      <c r="AE99" s="284"/>
      <c r="AF99" s="284"/>
      <c r="AG99" s="284"/>
      <c r="AH99" s="284"/>
      <c r="AI99" s="283"/>
      <c r="AJ99" s="284"/>
      <c r="AK99" s="284"/>
      <c r="AL99" s="284"/>
      <c r="AM99" s="283"/>
      <c r="AN99" s="284"/>
      <c r="AO99" s="284"/>
      <c r="AP99" s="285"/>
      <c r="AQ99" s="284">
        <f t="shared" si="29"/>
        <v>0</v>
      </c>
      <c r="AR99" s="284">
        <f t="shared" si="29"/>
        <v>0</v>
      </c>
      <c r="AS99" s="284">
        <f t="shared" si="29"/>
        <v>0</v>
      </c>
      <c r="AT99" s="284">
        <f t="shared" si="29"/>
        <v>0</v>
      </c>
      <c r="AU99" s="141" t="s">
        <v>61</v>
      </c>
      <c r="AV99" s="88" t="s">
        <v>572</v>
      </c>
      <c r="AW99" s="88" t="s">
        <v>614</v>
      </c>
      <c r="AX99" s="139" t="s">
        <v>566</v>
      </c>
      <c r="AY99" s="117" t="s">
        <v>65</v>
      </c>
      <c r="AZ99" s="117" t="s">
        <v>297</v>
      </c>
      <c r="BA99" s="291"/>
      <c r="BB99" s="93" t="s">
        <v>68</v>
      </c>
      <c r="BC99" s="93" t="s">
        <v>107</v>
      </c>
      <c r="BD99" s="93" t="s">
        <v>70</v>
      </c>
    </row>
    <row r="100" spans="1:56" s="69" customFormat="1" ht="48" x14ac:dyDescent="0.2">
      <c r="A100" s="247"/>
      <c r="B100" s="247"/>
      <c r="C100" s="248"/>
      <c r="D100" s="249"/>
      <c r="E100" s="253"/>
      <c r="F100" s="288"/>
      <c r="G100" s="253"/>
      <c r="H100" s="255"/>
      <c r="I100" s="257"/>
      <c r="J100" s="258"/>
      <c r="K100" s="88" t="s">
        <v>615</v>
      </c>
      <c r="L100" s="97">
        <v>30</v>
      </c>
      <c r="M100" s="142" t="s">
        <v>616</v>
      </c>
      <c r="N100" s="142" t="s">
        <v>617</v>
      </c>
      <c r="O100" s="90" t="s">
        <v>73</v>
      </c>
      <c r="P100" s="124">
        <v>100</v>
      </c>
      <c r="Q100" s="124">
        <v>100</v>
      </c>
      <c r="R100" s="124">
        <v>100</v>
      </c>
      <c r="S100" s="124">
        <v>100</v>
      </c>
      <c r="T100" s="124" t="s">
        <v>531</v>
      </c>
      <c r="U100" s="104"/>
      <c r="V100" s="88" t="str">
        <f>+M100</f>
        <v>Porcentaje de ejecución de acciones en Educación Ambiental  (IMG Res. 667/16)</v>
      </c>
      <c r="W100" s="88" t="s">
        <v>618</v>
      </c>
      <c r="X100" s="104" t="s">
        <v>619</v>
      </c>
      <c r="Y100" s="90"/>
      <c r="Z100" s="90"/>
      <c r="AA100" s="284"/>
      <c r="AB100" s="284"/>
      <c r="AC100" s="284"/>
      <c r="AD100" s="286"/>
      <c r="AE100" s="284"/>
      <c r="AF100" s="284"/>
      <c r="AG100" s="284"/>
      <c r="AH100" s="284"/>
      <c r="AI100" s="283"/>
      <c r="AJ100" s="284"/>
      <c r="AK100" s="284"/>
      <c r="AL100" s="284"/>
      <c r="AM100" s="283"/>
      <c r="AN100" s="284"/>
      <c r="AO100" s="284"/>
      <c r="AP100" s="285"/>
      <c r="AQ100" s="284">
        <f t="shared" si="29"/>
        <v>0</v>
      </c>
      <c r="AR100" s="284">
        <f t="shared" si="29"/>
        <v>0</v>
      </c>
      <c r="AS100" s="284">
        <f t="shared" si="29"/>
        <v>0</v>
      </c>
      <c r="AT100" s="284">
        <f t="shared" si="29"/>
        <v>0</v>
      </c>
      <c r="AU100" s="141" t="s">
        <v>61</v>
      </c>
      <c r="AV100" s="88" t="s">
        <v>564</v>
      </c>
      <c r="AW100" s="88" t="s">
        <v>589</v>
      </c>
      <c r="AX100" s="139" t="s">
        <v>566</v>
      </c>
      <c r="AY100" s="117" t="s">
        <v>65</v>
      </c>
      <c r="AZ100" s="117" t="s">
        <v>297</v>
      </c>
      <c r="BA100" s="291"/>
      <c r="BB100" s="93" t="s">
        <v>68</v>
      </c>
      <c r="BC100" s="93" t="s">
        <v>107</v>
      </c>
      <c r="BD100" s="93" t="s">
        <v>70</v>
      </c>
    </row>
    <row r="101" spans="1:56" s="69" customFormat="1" ht="38.4" x14ac:dyDescent="0.2">
      <c r="A101" s="245" t="s">
        <v>620</v>
      </c>
      <c r="B101" s="245">
        <v>9</v>
      </c>
      <c r="C101" s="248" t="s">
        <v>621</v>
      </c>
      <c r="D101" s="249">
        <v>100</v>
      </c>
      <c r="E101" s="281" t="s">
        <v>622</v>
      </c>
      <c r="F101" s="282">
        <f>+[5]Pond!AF5</f>
        <v>17</v>
      </c>
      <c r="G101" s="281" t="s">
        <v>623</v>
      </c>
      <c r="H101" s="255" t="s">
        <v>624</v>
      </c>
      <c r="I101" s="257" t="s">
        <v>625</v>
      </c>
      <c r="J101" s="258">
        <f>+[5]Pond!AF6</f>
        <v>29</v>
      </c>
      <c r="K101" s="143" t="s">
        <v>626</v>
      </c>
      <c r="L101" s="144">
        <v>18</v>
      </c>
      <c r="M101" s="143" t="s">
        <v>627</v>
      </c>
      <c r="N101" s="143" t="s">
        <v>57</v>
      </c>
      <c r="O101" s="145" t="s">
        <v>104</v>
      </c>
      <c r="P101" s="144">
        <v>255</v>
      </c>
      <c r="Q101" s="144">
        <v>255</v>
      </c>
      <c r="R101" s="144">
        <v>255</v>
      </c>
      <c r="S101" s="144">
        <v>255</v>
      </c>
      <c r="T101" s="144">
        <f>SUM(P101:S101)</f>
        <v>1020</v>
      </c>
      <c r="U101" s="146" t="s">
        <v>628</v>
      </c>
      <c r="V101" s="147"/>
      <c r="W101" s="143" t="s">
        <v>629</v>
      </c>
      <c r="X101" s="143" t="s">
        <v>630</v>
      </c>
      <c r="Y101" s="143"/>
      <c r="Z101" s="143"/>
      <c r="AA101" s="237">
        <f>+'[5]Gastos por fuentes 2024'!D70</f>
        <v>47262622</v>
      </c>
      <c r="AB101" s="237"/>
      <c r="AC101" s="237"/>
      <c r="AD101" s="237">
        <f>+AA101+AB101+AC101</f>
        <v>47262622</v>
      </c>
      <c r="AE101" s="237">
        <f>+EVEN(AA101*3%+AA101)</f>
        <v>48680502</v>
      </c>
      <c r="AF101" s="237"/>
      <c r="AG101" s="237"/>
      <c r="AH101" s="237">
        <f>SUM(AE101:AG101)</f>
        <v>48680502</v>
      </c>
      <c r="AI101" s="237">
        <f>+EVEN(AE101*10%+AE101)</f>
        <v>53548554</v>
      </c>
      <c r="AJ101" s="237"/>
      <c r="AK101" s="237"/>
      <c r="AL101" s="237">
        <f>SUM(AI101:AK101)</f>
        <v>53548554</v>
      </c>
      <c r="AM101" s="237">
        <f>+EVEN(AI101*10%+AI101)</f>
        <v>58903410</v>
      </c>
      <c r="AN101" s="237"/>
      <c r="AO101" s="237"/>
      <c r="AP101" s="238">
        <f>SUM(AM101:AO101)</f>
        <v>58903410</v>
      </c>
      <c r="AQ101" s="237">
        <f t="shared" si="29"/>
        <v>208395088</v>
      </c>
      <c r="AR101" s="237">
        <f t="shared" si="29"/>
        <v>0</v>
      </c>
      <c r="AS101" s="237">
        <f t="shared" si="29"/>
        <v>0</v>
      </c>
      <c r="AT101" s="237">
        <f t="shared" si="29"/>
        <v>208395088</v>
      </c>
      <c r="AU101" s="148" t="s">
        <v>61</v>
      </c>
      <c r="AV101" s="143" t="s">
        <v>631</v>
      </c>
      <c r="AW101" s="143" t="s">
        <v>632</v>
      </c>
      <c r="AX101" s="149" t="s">
        <v>633</v>
      </c>
      <c r="AY101" s="149" t="s">
        <v>65</v>
      </c>
      <c r="AZ101" s="149" t="s">
        <v>634</v>
      </c>
      <c r="BA101" s="234"/>
      <c r="BB101" s="143" t="s">
        <v>130</v>
      </c>
      <c r="BC101" s="150" t="s">
        <v>131</v>
      </c>
      <c r="BD101" s="150"/>
    </row>
    <row r="102" spans="1:56" s="69" customFormat="1" ht="38.4" x14ac:dyDescent="0.2">
      <c r="A102" s="246"/>
      <c r="B102" s="246"/>
      <c r="C102" s="248"/>
      <c r="D102" s="249"/>
      <c r="E102" s="281"/>
      <c r="F102" s="282"/>
      <c r="G102" s="281"/>
      <c r="H102" s="255"/>
      <c r="I102" s="257"/>
      <c r="J102" s="258"/>
      <c r="K102" s="88" t="s">
        <v>635</v>
      </c>
      <c r="L102" s="97">
        <v>18</v>
      </c>
      <c r="M102" s="88" t="s">
        <v>636</v>
      </c>
      <c r="N102" s="88" t="s">
        <v>57</v>
      </c>
      <c r="O102" s="119" t="s">
        <v>58</v>
      </c>
      <c r="P102" s="97">
        <v>15</v>
      </c>
      <c r="Q102" s="97">
        <v>15</v>
      </c>
      <c r="R102" s="97">
        <v>15</v>
      </c>
      <c r="S102" s="97">
        <v>15</v>
      </c>
      <c r="T102" s="97">
        <f>SUM(P102:S102)</f>
        <v>60</v>
      </c>
      <c r="U102" s="104" t="s">
        <v>637</v>
      </c>
      <c r="V102" s="129"/>
      <c r="W102" s="88" t="s">
        <v>638</v>
      </c>
      <c r="X102" s="89" t="s">
        <v>639</v>
      </c>
      <c r="Y102" s="89"/>
      <c r="Z102" s="89"/>
      <c r="AA102" s="237"/>
      <c r="AB102" s="237"/>
      <c r="AC102" s="237"/>
      <c r="AD102" s="237"/>
      <c r="AE102" s="237"/>
      <c r="AF102" s="237"/>
      <c r="AG102" s="237"/>
      <c r="AH102" s="237"/>
      <c r="AI102" s="237"/>
      <c r="AJ102" s="237"/>
      <c r="AK102" s="237"/>
      <c r="AL102" s="237"/>
      <c r="AM102" s="237"/>
      <c r="AN102" s="237"/>
      <c r="AO102" s="237"/>
      <c r="AP102" s="238"/>
      <c r="AQ102" s="237"/>
      <c r="AR102" s="237"/>
      <c r="AS102" s="237"/>
      <c r="AT102" s="237"/>
      <c r="AU102" s="115" t="s">
        <v>61</v>
      </c>
      <c r="AV102" s="88" t="s">
        <v>85</v>
      </c>
      <c r="AW102" s="88" t="s">
        <v>85</v>
      </c>
      <c r="AX102" s="117" t="s">
        <v>633</v>
      </c>
      <c r="AY102" s="117" t="s">
        <v>65</v>
      </c>
      <c r="AZ102" s="117" t="s">
        <v>634</v>
      </c>
      <c r="BA102" s="234"/>
      <c r="BB102" s="143" t="s">
        <v>130</v>
      </c>
      <c r="BC102" s="150" t="s">
        <v>131</v>
      </c>
      <c r="BD102" s="93"/>
    </row>
    <row r="103" spans="1:56" s="69" customFormat="1" ht="38.4" x14ac:dyDescent="0.2">
      <c r="A103" s="246"/>
      <c r="B103" s="246"/>
      <c r="C103" s="248"/>
      <c r="D103" s="249"/>
      <c r="E103" s="281"/>
      <c r="F103" s="282"/>
      <c r="G103" s="281"/>
      <c r="H103" s="255"/>
      <c r="I103" s="257"/>
      <c r="J103" s="258"/>
      <c r="K103" s="88" t="s">
        <v>640</v>
      </c>
      <c r="L103" s="97">
        <v>17</v>
      </c>
      <c r="M103" s="104" t="s">
        <v>641</v>
      </c>
      <c r="N103" s="104" t="s">
        <v>57</v>
      </c>
      <c r="O103" s="119" t="s">
        <v>58</v>
      </c>
      <c r="P103" s="132">
        <v>2</v>
      </c>
      <c r="Q103" s="132">
        <v>2</v>
      </c>
      <c r="R103" s="132">
        <v>2</v>
      </c>
      <c r="S103" s="132">
        <v>2</v>
      </c>
      <c r="T103" s="97">
        <f>SUM(P103:S103)</f>
        <v>8</v>
      </c>
      <c r="U103" s="104" t="s">
        <v>642</v>
      </c>
      <c r="V103" s="129"/>
      <c r="W103" s="88" t="s">
        <v>643</v>
      </c>
      <c r="X103" s="89" t="s">
        <v>644</v>
      </c>
      <c r="Y103" s="89"/>
      <c r="Z103" s="89"/>
      <c r="AA103" s="237"/>
      <c r="AB103" s="237"/>
      <c r="AC103" s="237"/>
      <c r="AD103" s="237"/>
      <c r="AE103" s="237"/>
      <c r="AF103" s="237"/>
      <c r="AG103" s="237"/>
      <c r="AH103" s="237"/>
      <c r="AI103" s="237"/>
      <c r="AJ103" s="237"/>
      <c r="AK103" s="237"/>
      <c r="AL103" s="237"/>
      <c r="AM103" s="237"/>
      <c r="AN103" s="237"/>
      <c r="AO103" s="237"/>
      <c r="AP103" s="238"/>
      <c r="AQ103" s="237"/>
      <c r="AR103" s="237"/>
      <c r="AS103" s="237"/>
      <c r="AT103" s="237"/>
      <c r="AU103" s="115" t="s">
        <v>61</v>
      </c>
      <c r="AV103" s="88" t="s">
        <v>645</v>
      </c>
      <c r="AW103" s="88" t="s">
        <v>646</v>
      </c>
      <c r="AX103" s="117" t="s">
        <v>633</v>
      </c>
      <c r="AY103" s="117" t="s">
        <v>65</v>
      </c>
      <c r="AZ103" s="117" t="s">
        <v>634</v>
      </c>
      <c r="BA103" s="234"/>
      <c r="BB103" s="143" t="s">
        <v>130</v>
      </c>
      <c r="BC103" s="150" t="s">
        <v>131</v>
      </c>
      <c r="BD103" s="93"/>
    </row>
    <row r="104" spans="1:56" s="69" customFormat="1" ht="38.4" x14ac:dyDescent="0.2">
      <c r="A104" s="246"/>
      <c r="B104" s="246"/>
      <c r="C104" s="248"/>
      <c r="D104" s="249"/>
      <c r="E104" s="281"/>
      <c r="F104" s="282"/>
      <c r="G104" s="281"/>
      <c r="H104" s="255"/>
      <c r="I104" s="257"/>
      <c r="J104" s="258"/>
      <c r="K104" s="88" t="s">
        <v>647</v>
      </c>
      <c r="L104" s="97">
        <v>17</v>
      </c>
      <c r="M104" s="88" t="s">
        <v>648</v>
      </c>
      <c r="N104" s="88" t="s">
        <v>649</v>
      </c>
      <c r="O104" s="119" t="s">
        <v>73</v>
      </c>
      <c r="P104" s="97">
        <v>100</v>
      </c>
      <c r="Q104" s="97">
        <v>100</v>
      </c>
      <c r="R104" s="97">
        <v>100</v>
      </c>
      <c r="S104" s="97">
        <v>100</v>
      </c>
      <c r="T104" s="97">
        <v>100</v>
      </c>
      <c r="U104" s="104" t="s">
        <v>650</v>
      </c>
      <c r="V104" s="129" t="str">
        <f>+M104</f>
        <v>Porcentaje de autorizaciones ambientales con seguimiento (Licencias sitio de disposición final) (IMG Res. 667/2016) (Residuos Peligrosos)</v>
      </c>
      <c r="W104" s="90"/>
      <c r="X104" s="90"/>
      <c r="Y104" s="90"/>
      <c r="Z104" s="90"/>
      <c r="AA104" s="237"/>
      <c r="AB104" s="237"/>
      <c r="AC104" s="237"/>
      <c r="AD104" s="237"/>
      <c r="AE104" s="237"/>
      <c r="AF104" s="237"/>
      <c r="AG104" s="237"/>
      <c r="AH104" s="237"/>
      <c r="AI104" s="237"/>
      <c r="AJ104" s="237"/>
      <c r="AK104" s="237"/>
      <c r="AL104" s="237"/>
      <c r="AM104" s="237"/>
      <c r="AN104" s="237"/>
      <c r="AO104" s="237"/>
      <c r="AP104" s="238"/>
      <c r="AQ104" s="237"/>
      <c r="AR104" s="237"/>
      <c r="AS104" s="237"/>
      <c r="AT104" s="237"/>
      <c r="AU104" s="115" t="s">
        <v>61</v>
      </c>
      <c r="AV104" s="88" t="s">
        <v>631</v>
      </c>
      <c r="AW104" s="88" t="s">
        <v>632</v>
      </c>
      <c r="AX104" s="117" t="s">
        <v>633</v>
      </c>
      <c r="AY104" s="117" t="s">
        <v>65</v>
      </c>
      <c r="AZ104" s="117" t="s">
        <v>634</v>
      </c>
      <c r="BA104" s="234"/>
      <c r="BB104" s="143" t="s">
        <v>130</v>
      </c>
      <c r="BC104" s="150" t="s">
        <v>131</v>
      </c>
      <c r="BD104" s="93"/>
    </row>
    <row r="105" spans="1:56" s="69" customFormat="1" ht="38.4" x14ac:dyDescent="0.2">
      <c r="A105" s="246"/>
      <c r="B105" s="246"/>
      <c r="C105" s="248"/>
      <c r="D105" s="249"/>
      <c r="E105" s="281"/>
      <c r="F105" s="282"/>
      <c r="G105" s="281"/>
      <c r="H105" s="255"/>
      <c r="I105" s="257"/>
      <c r="J105" s="258"/>
      <c r="K105" s="88" t="s">
        <v>651</v>
      </c>
      <c r="L105" s="97">
        <v>15</v>
      </c>
      <c r="M105" s="88" t="s">
        <v>652</v>
      </c>
      <c r="N105" s="88" t="s">
        <v>57</v>
      </c>
      <c r="O105" s="119" t="s">
        <v>58</v>
      </c>
      <c r="P105" s="97">
        <v>155</v>
      </c>
      <c r="Q105" s="97">
        <v>155</v>
      </c>
      <c r="R105" s="97">
        <v>155</v>
      </c>
      <c r="S105" s="97">
        <v>155</v>
      </c>
      <c r="T105" s="97">
        <f>SUM(P105:S105)</f>
        <v>620</v>
      </c>
      <c r="U105" s="104" t="s">
        <v>653</v>
      </c>
      <c r="V105" s="129"/>
      <c r="W105" s="88" t="s">
        <v>629</v>
      </c>
      <c r="X105" s="88" t="s">
        <v>630</v>
      </c>
      <c r="Y105" s="104" t="s">
        <v>654</v>
      </c>
      <c r="Z105" s="88" t="s">
        <v>655</v>
      </c>
      <c r="AA105" s="237"/>
      <c r="AB105" s="237"/>
      <c r="AC105" s="237"/>
      <c r="AD105" s="237"/>
      <c r="AE105" s="237"/>
      <c r="AF105" s="237"/>
      <c r="AG105" s="237"/>
      <c r="AH105" s="237"/>
      <c r="AI105" s="237"/>
      <c r="AJ105" s="237"/>
      <c r="AK105" s="237"/>
      <c r="AL105" s="237"/>
      <c r="AM105" s="237"/>
      <c r="AN105" s="237"/>
      <c r="AO105" s="237"/>
      <c r="AP105" s="238"/>
      <c r="AQ105" s="237"/>
      <c r="AR105" s="237"/>
      <c r="AS105" s="237"/>
      <c r="AT105" s="237"/>
      <c r="AU105" s="115" t="s">
        <v>61</v>
      </c>
      <c r="AV105" s="88" t="s">
        <v>631</v>
      </c>
      <c r="AW105" s="88" t="s">
        <v>632</v>
      </c>
      <c r="AX105" s="117" t="s">
        <v>633</v>
      </c>
      <c r="AY105" s="117" t="s">
        <v>65</v>
      </c>
      <c r="AZ105" s="117" t="s">
        <v>634</v>
      </c>
      <c r="BA105" s="234"/>
      <c r="BB105" s="143" t="s">
        <v>130</v>
      </c>
      <c r="BC105" s="150" t="s">
        <v>131</v>
      </c>
      <c r="BD105" s="93"/>
    </row>
    <row r="106" spans="1:56" s="69" customFormat="1" ht="38.4" x14ac:dyDescent="0.2">
      <c r="A106" s="246"/>
      <c r="B106" s="246"/>
      <c r="C106" s="248"/>
      <c r="D106" s="249"/>
      <c r="E106" s="281"/>
      <c r="F106" s="282"/>
      <c r="G106" s="281"/>
      <c r="H106" s="255"/>
      <c r="I106" s="257"/>
      <c r="J106" s="258"/>
      <c r="K106" s="88" t="s">
        <v>656</v>
      </c>
      <c r="L106" s="97">
        <v>15</v>
      </c>
      <c r="M106" s="88" t="s">
        <v>657</v>
      </c>
      <c r="N106" s="88" t="s">
        <v>57</v>
      </c>
      <c r="O106" s="119" t="s">
        <v>58</v>
      </c>
      <c r="P106" s="97">
        <v>4</v>
      </c>
      <c r="Q106" s="97">
        <v>4</v>
      </c>
      <c r="R106" s="97">
        <v>4</v>
      </c>
      <c r="S106" s="97">
        <v>4</v>
      </c>
      <c r="T106" s="97">
        <v>4</v>
      </c>
      <c r="U106" s="104" t="s">
        <v>658</v>
      </c>
      <c r="V106" s="151"/>
      <c r="W106" s="90"/>
      <c r="X106" s="90"/>
      <c r="Y106" s="90"/>
      <c r="Z106" s="90"/>
      <c r="AA106" s="237"/>
      <c r="AB106" s="237"/>
      <c r="AC106" s="237"/>
      <c r="AD106" s="237"/>
      <c r="AE106" s="237"/>
      <c r="AF106" s="237"/>
      <c r="AG106" s="237"/>
      <c r="AH106" s="237"/>
      <c r="AI106" s="237"/>
      <c r="AJ106" s="237"/>
      <c r="AK106" s="237"/>
      <c r="AL106" s="237"/>
      <c r="AM106" s="237"/>
      <c r="AN106" s="237"/>
      <c r="AO106" s="237"/>
      <c r="AP106" s="238"/>
      <c r="AQ106" s="237"/>
      <c r="AR106" s="237"/>
      <c r="AS106" s="237"/>
      <c r="AT106" s="237"/>
      <c r="AU106" s="115" t="s">
        <v>61</v>
      </c>
      <c r="AV106" s="88" t="s">
        <v>645</v>
      </c>
      <c r="AW106" s="88" t="s">
        <v>646</v>
      </c>
      <c r="AX106" s="117" t="s">
        <v>659</v>
      </c>
      <c r="AY106" s="117" t="s">
        <v>65</v>
      </c>
      <c r="AZ106" s="117" t="s">
        <v>634</v>
      </c>
      <c r="BA106" s="234"/>
      <c r="BB106" s="143" t="s">
        <v>130</v>
      </c>
      <c r="BC106" s="150" t="s">
        <v>131</v>
      </c>
      <c r="BD106" s="93"/>
    </row>
    <row r="107" spans="1:56" s="69" customFormat="1" ht="57.6" x14ac:dyDescent="0.2">
      <c r="A107" s="246"/>
      <c r="B107" s="246"/>
      <c r="C107" s="248"/>
      <c r="D107" s="249"/>
      <c r="E107" s="281"/>
      <c r="F107" s="282"/>
      <c r="G107" s="281"/>
      <c r="H107" s="255"/>
      <c r="I107" s="279" t="s">
        <v>660</v>
      </c>
      <c r="J107" s="280">
        <f>+[5]Pond!AF7</f>
        <v>27</v>
      </c>
      <c r="K107" s="88" t="s">
        <v>661</v>
      </c>
      <c r="L107" s="97">
        <v>50</v>
      </c>
      <c r="M107" s="88" t="s">
        <v>662</v>
      </c>
      <c r="N107" s="88" t="s">
        <v>209</v>
      </c>
      <c r="O107" s="119" t="s">
        <v>73</v>
      </c>
      <c r="P107" s="97">
        <v>100</v>
      </c>
      <c r="Q107" s="97">
        <v>100</v>
      </c>
      <c r="R107" s="97">
        <v>100</v>
      </c>
      <c r="S107" s="97">
        <v>100</v>
      </c>
      <c r="T107" s="97">
        <v>100</v>
      </c>
      <c r="U107" s="104" t="s">
        <v>663</v>
      </c>
      <c r="V107" s="104" t="str">
        <f>+M107</f>
        <v>Porcentaje de PGIRS con seguimiento a metas de aprovechamiento (IMG Res. 667/2016) (PGAR L1.11.1)</v>
      </c>
      <c r="W107" s="88" t="s">
        <v>664</v>
      </c>
      <c r="X107" s="89" t="s">
        <v>665</v>
      </c>
      <c r="Y107" s="89" t="s">
        <v>666</v>
      </c>
      <c r="Z107" s="89" t="s">
        <v>667</v>
      </c>
      <c r="AA107" s="237">
        <f>+'[5]Gastos por fuentes 2024'!D71</f>
        <v>38152000</v>
      </c>
      <c r="AB107" s="237"/>
      <c r="AC107" s="237"/>
      <c r="AD107" s="237">
        <f>SUM(AA107:AC107)</f>
        <v>38152000</v>
      </c>
      <c r="AE107" s="237">
        <f>+EVEN(AA107*3%+AA107)</f>
        <v>39296560</v>
      </c>
      <c r="AF107" s="237"/>
      <c r="AG107" s="237"/>
      <c r="AH107" s="237">
        <f>SUM(AE107:AG107)</f>
        <v>39296560</v>
      </c>
      <c r="AI107" s="237">
        <f>+EVEN(AE107*10%+AE107)</f>
        <v>43226216</v>
      </c>
      <c r="AJ107" s="237"/>
      <c r="AK107" s="237"/>
      <c r="AL107" s="237">
        <f>SUM(AI107:AK107)</f>
        <v>43226216</v>
      </c>
      <c r="AM107" s="237">
        <f>+EVEN(AI107*10%+AI107)</f>
        <v>47548838</v>
      </c>
      <c r="AN107" s="237"/>
      <c r="AO107" s="237"/>
      <c r="AP107" s="238">
        <f>SUM(AM107:AO107)</f>
        <v>47548838</v>
      </c>
      <c r="AQ107" s="237">
        <f>+AA107+AE107+AI107+AM107</f>
        <v>168223614</v>
      </c>
      <c r="AR107" s="237">
        <f>+AB107+AF107+AJ107+AN107</f>
        <v>0</v>
      </c>
      <c r="AS107" s="237">
        <f>+AC107+AG107+AK107+AO107</f>
        <v>0</v>
      </c>
      <c r="AT107" s="237">
        <f>+AD107+AH107+AL107+AP107</f>
        <v>168223614</v>
      </c>
      <c r="AU107" s="115" t="s">
        <v>61</v>
      </c>
      <c r="AV107" s="88" t="s">
        <v>631</v>
      </c>
      <c r="AW107" s="88" t="s">
        <v>632</v>
      </c>
      <c r="AX107" s="117" t="s">
        <v>659</v>
      </c>
      <c r="AY107" s="117" t="s">
        <v>65</v>
      </c>
      <c r="AZ107" s="117" t="s">
        <v>634</v>
      </c>
      <c r="BA107" s="234"/>
      <c r="BB107" s="143" t="s">
        <v>130</v>
      </c>
      <c r="BC107" s="150" t="s">
        <v>131</v>
      </c>
      <c r="BD107" s="93"/>
    </row>
    <row r="108" spans="1:56" s="69" customFormat="1" ht="38.4" x14ac:dyDescent="0.2">
      <c r="A108" s="246"/>
      <c r="B108" s="246"/>
      <c r="C108" s="248"/>
      <c r="D108" s="249"/>
      <c r="E108" s="281"/>
      <c r="F108" s="282"/>
      <c r="G108" s="281"/>
      <c r="H108" s="255"/>
      <c r="I108" s="279"/>
      <c r="J108" s="280"/>
      <c r="K108" s="88" t="s">
        <v>668</v>
      </c>
      <c r="L108" s="97">
        <v>50</v>
      </c>
      <c r="M108" s="88" t="s">
        <v>669</v>
      </c>
      <c r="N108" s="88" t="s">
        <v>57</v>
      </c>
      <c r="O108" s="119" t="s">
        <v>73</v>
      </c>
      <c r="P108" s="97">
        <v>100</v>
      </c>
      <c r="Q108" s="97">
        <v>100</v>
      </c>
      <c r="R108" s="97">
        <v>100</v>
      </c>
      <c r="S108" s="97">
        <v>100</v>
      </c>
      <c r="T108" s="97">
        <v>100</v>
      </c>
      <c r="U108" s="104" t="s">
        <v>670</v>
      </c>
      <c r="V108" s="129"/>
      <c r="W108" s="90" t="s">
        <v>671</v>
      </c>
      <c r="X108" s="88" t="s">
        <v>672</v>
      </c>
      <c r="Y108" s="90"/>
      <c r="Z108" s="90"/>
      <c r="AA108" s="237"/>
      <c r="AB108" s="237"/>
      <c r="AC108" s="237"/>
      <c r="AD108" s="237"/>
      <c r="AE108" s="237"/>
      <c r="AF108" s="237"/>
      <c r="AG108" s="237"/>
      <c r="AH108" s="237"/>
      <c r="AI108" s="237"/>
      <c r="AJ108" s="237"/>
      <c r="AK108" s="237"/>
      <c r="AL108" s="237"/>
      <c r="AM108" s="237"/>
      <c r="AN108" s="237"/>
      <c r="AO108" s="237"/>
      <c r="AP108" s="238"/>
      <c r="AQ108" s="237"/>
      <c r="AR108" s="237"/>
      <c r="AS108" s="237"/>
      <c r="AT108" s="237"/>
      <c r="AU108" s="115" t="s">
        <v>61</v>
      </c>
      <c r="AV108" s="88" t="s">
        <v>631</v>
      </c>
      <c r="AW108" s="88" t="s">
        <v>632</v>
      </c>
      <c r="AX108" s="117" t="s">
        <v>659</v>
      </c>
      <c r="AY108" s="117" t="s">
        <v>65</v>
      </c>
      <c r="AZ108" s="117" t="s">
        <v>634</v>
      </c>
      <c r="BA108" s="234"/>
      <c r="BB108" s="143" t="s">
        <v>130</v>
      </c>
      <c r="BC108" s="150" t="s">
        <v>131</v>
      </c>
      <c r="BD108" s="93"/>
    </row>
    <row r="109" spans="1:56" s="69" customFormat="1" ht="38.4" x14ac:dyDescent="0.2">
      <c r="A109" s="246"/>
      <c r="B109" s="246"/>
      <c r="C109" s="248"/>
      <c r="D109" s="249"/>
      <c r="E109" s="281"/>
      <c r="F109" s="282"/>
      <c r="G109" s="281"/>
      <c r="H109" s="255"/>
      <c r="I109" s="279" t="s">
        <v>673</v>
      </c>
      <c r="J109" s="280">
        <f>+[5]Pond!AF8</f>
        <v>28</v>
      </c>
      <c r="K109" s="88" t="s">
        <v>674</v>
      </c>
      <c r="L109" s="97">
        <v>30</v>
      </c>
      <c r="M109" s="88" t="s">
        <v>675</v>
      </c>
      <c r="N109" s="88" t="s">
        <v>649</v>
      </c>
      <c r="O109" s="119" t="s">
        <v>81</v>
      </c>
      <c r="P109" s="97">
        <v>100</v>
      </c>
      <c r="Q109" s="97">
        <v>100</v>
      </c>
      <c r="R109" s="97">
        <v>100</v>
      </c>
      <c r="S109" s="97">
        <v>100</v>
      </c>
      <c r="T109" s="97">
        <v>100</v>
      </c>
      <c r="U109" s="104" t="s">
        <v>676</v>
      </c>
      <c r="V109" s="104" t="str">
        <f>+M109</f>
        <v>Porcentaje de autorizaciones ambientales con seguimiento (Licencias sitio de disposición final) (IMG Res. 667/2016) (Residuos Urbanos)</v>
      </c>
      <c r="W109" s="90"/>
      <c r="X109" s="90"/>
      <c r="Y109" s="90"/>
      <c r="Z109" s="90"/>
      <c r="AA109" s="237">
        <f>+'[5]Gastos por fuentes 2024'!D72</f>
        <v>43121800</v>
      </c>
      <c r="AB109" s="237"/>
      <c r="AC109" s="237"/>
      <c r="AD109" s="237">
        <f>SUM(AA109:AC109)</f>
        <v>43121800</v>
      </c>
      <c r="AE109" s="237">
        <f>+EVEN(AA109*3%+AA109)</f>
        <v>44415454</v>
      </c>
      <c r="AF109" s="237"/>
      <c r="AG109" s="237"/>
      <c r="AH109" s="237">
        <f>SUM(AE109:AG109)</f>
        <v>44415454</v>
      </c>
      <c r="AI109" s="237">
        <f>+EVEN(AE109*10%+AE109)</f>
        <v>48857000</v>
      </c>
      <c r="AJ109" s="237"/>
      <c r="AK109" s="237"/>
      <c r="AL109" s="237">
        <f>SUM(AI109:AK109)</f>
        <v>48857000</v>
      </c>
      <c r="AM109" s="237">
        <f>+EVEN(AI109*10%+AI109)</f>
        <v>53742700</v>
      </c>
      <c r="AN109" s="237"/>
      <c r="AO109" s="237"/>
      <c r="AP109" s="238">
        <f>SUM(AM109:AO109)</f>
        <v>53742700</v>
      </c>
      <c r="AQ109" s="237">
        <f>+AA109+AE109+AI109+AM109</f>
        <v>190136954</v>
      </c>
      <c r="AR109" s="237">
        <f>+AB109+AF109+AJ109+AN109</f>
        <v>0</v>
      </c>
      <c r="AS109" s="237">
        <f>+AC109+AG109+AK109+AO109</f>
        <v>0</v>
      </c>
      <c r="AT109" s="237">
        <f>+AD109+AH109+AL109+AP109</f>
        <v>190136954</v>
      </c>
      <c r="AU109" s="115" t="s">
        <v>61</v>
      </c>
      <c r="AV109" s="88" t="s">
        <v>631</v>
      </c>
      <c r="AW109" s="88" t="s">
        <v>632</v>
      </c>
      <c r="AX109" s="117" t="s">
        <v>659</v>
      </c>
      <c r="AY109" s="117" t="s">
        <v>65</v>
      </c>
      <c r="AZ109" s="117" t="s">
        <v>634</v>
      </c>
      <c r="BA109" s="234"/>
      <c r="BB109" s="143" t="s">
        <v>130</v>
      </c>
      <c r="BC109" s="150" t="s">
        <v>131</v>
      </c>
      <c r="BD109" s="93"/>
    </row>
    <row r="110" spans="1:56" s="69" customFormat="1" ht="38.4" x14ac:dyDescent="0.2">
      <c r="A110" s="246"/>
      <c r="B110" s="246"/>
      <c r="C110" s="248"/>
      <c r="D110" s="249"/>
      <c r="E110" s="281"/>
      <c r="F110" s="282"/>
      <c r="G110" s="281"/>
      <c r="H110" s="255"/>
      <c r="I110" s="279"/>
      <c r="J110" s="280"/>
      <c r="K110" s="88" t="s">
        <v>677</v>
      </c>
      <c r="L110" s="97">
        <v>30</v>
      </c>
      <c r="M110" s="88" t="s">
        <v>678</v>
      </c>
      <c r="N110" s="88" t="s">
        <v>649</v>
      </c>
      <c r="O110" s="119" t="s">
        <v>679</v>
      </c>
      <c r="P110" s="97">
        <v>90</v>
      </c>
      <c r="Q110" s="97">
        <v>90</v>
      </c>
      <c r="R110" s="97">
        <v>90</v>
      </c>
      <c r="S110" s="97">
        <v>90</v>
      </c>
      <c r="T110" s="97">
        <v>100</v>
      </c>
      <c r="U110" s="104"/>
      <c r="V110" s="104" t="str">
        <f>+M110</f>
        <v>Tiempo promedio de trámite para la resolución de autorizaciones ambientales otorgadas por la corporación (Licencias residuos sólidos) (IMG Res.667/16)</v>
      </c>
      <c r="W110" s="90"/>
      <c r="X110" s="90"/>
      <c r="Y110" s="90"/>
      <c r="Z110" s="90"/>
      <c r="AA110" s="237"/>
      <c r="AB110" s="237"/>
      <c r="AC110" s="237"/>
      <c r="AD110" s="237"/>
      <c r="AE110" s="237"/>
      <c r="AF110" s="237"/>
      <c r="AG110" s="237"/>
      <c r="AH110" s="237"/>
      <c r="AI110" s="237"/>
      <c r="AJ110" s="237"/>
      <c r="AK110" s="237"/>
      <c r="AL110" s="237"/>
      <c r="AM110" s="237"/>
      <c r="AN110" s="237"/>
      <c r="AO110" s="237"/>
      <c r="AP110" s="238"/>
      <c r="AQ110" s="237"/>
      <c r="AR110" s="237"/>
      <c r="AS110" s="237"/>
      <c r="AT110" s="237"/>
      <c r="AU110" s="115" t="s">
        <v>61</v>
      </c>
      <c r="AV110" s="88" t="s">
        <v>398</v>
      </c>
      <c r="AW110" s="88" t="s">
        <v>399</v>
      </c>
      <c r="AX110" s="117" t="s">
        <v>659</v>
      </c>
      <c r="AY110" s="117" t="s">
        <v>65</v>
      </c>
      <c r="AZ110" s="117" t="s">
        <v>634</v>
      </c>
      <c r="BA110" s="234"/>
      <c r="BB110" s="143" t="s">
        <v>130</v>
      </c>
      <c r="BC110" s="150" t="s">
        <v>131</v>
      </c>
      <c r="BD110" s="93"/>
    </row>
    <row r="111" spans="1:56" s="69" customFormat="1" ht="48" x14ac:dyDescent="0.2">
      <c r="A111" s="246"/>
      <c r="B111" s="246"/>
      <c r="C111" s="248"/>
      <c r="D111" s="249"/>
      <c r="E111" s="281"/>
      <c r="F111" s="282"/>
      <c r="G111" s="281"/>
      <c r="H111" s="255"/>
      <c r="I111" s="279"/>
      <c r="J111" s="280"/>
      <c r="K111" s="88" t="s">
        <v>680</v>
      </c>
      <c r="L111" s="97">
        <v>40</v>
      </c>
      <c r="M111" s="88" t="s">
        <v>681</v>
      </c>
      <c r="N111" s="88" t="s">
        <v>57</v>
      </c>
      <c r="O111" s="119" t="s">
        <v>73</v>
      </c>
      <c r="P111" s="97">
        <v>100</v>
      </c>
      <c r="Q111" s="97">
        <v>100</v>
      </c>
      <c r="R111" s="97">
        <v>100</v>
      </c>
      <c r="S111" s="97">
        <v>100</v>
      </c>
      <c r="T111" s="97">
        <v>100</v>
      </c>
      <c r="U111" s="104" t="s">
        <v>663</v>
      </c>
      <c r="V111" s="129"/>
      <c r="W111" s="88" t="s">
        <v>682</v>
      </c>
      <c r="X111" s="89" t="s">
        <v>683</v>
      </c>
      <c r="Y111" s="89"/>
      <c r="Z111" s="89"/>
      <c r="AA111" s="237"/>
      <c r="AB111" s="237"/>
      <c r="AC111" s="237"/>
      <c r="AD111" s="237"/>
      <c r="AE111" s="237"/>
      <c r="AF111" s="237"/>
      <c r="AG111" s="237"/>
      <c r="AH111" s="237"/>
      <c r="AI111" s="237"/>
      <c r="AJ111" s="237"/>
      <c r="AK111" s="237"/>
      <c r="AL111" s="237"/>
      <c r="AM111" s="237"/>
      <c r="AN111" s="237"/>
      <c r="AO111" s="237"/>
      <c r="AP111" s="238"/>
      <c r="AQ111" s="237"/>
      <c r="AR111" s="237"/>
      <c r="AS111" s="237"/>
      <c r="AT111" s="237"/>
      <c r="AU111" s="115" t="s">
        <v>61</v>
      </c>
      <c r="AV111" s="88" t="s">
        <v>631</v>
      </c>
      <c r="AW111" s="88" t="s">
        <v>632</v>
      </c>
      <c r="AX111" s="117" t="s">
        <v>659</v>
      </c>
      <c r="AY111" s="117" t="s">
        <v>65</v>
      </c>
      <c r="AZ111" s="117" t="s">
        <v>634</v>
      </c>
      <c r="BA111" s="234"/>
      <c r="BB111" s="143" t="s">
        <v>130</v>
      </c>
      <c r="BC111" s="150" t="s">
        <v>131</v>
      </c>
      <c r="BD111" s="93"/>
    </row>
    <row r="112" spans="1:56" s="69" customFormat="1" ht="88.2" x14ac:dyDescent="0.2">
      <c r="A112" s="246"/>
      <c r="B112" s="246"/>
      <c r="C112" s="248"/>
      <c r="D112" s="249"/>
      <c r="E112" s="281"/>
      <c r="F112" s="282"/>
      <c r="G112" s="281"/>
      <c r="H112" s="152" t="s">
        <v>684</v>
      </c>
      <c r="I112" s="153" t="s">
        <v>685</v>
      </c>
      <c r="J112" s="154">
        <f>+[5]Pond!AF9</f>
        <v>16</v>
      </c>
      <c r="K112" s="88" t="s">
        <v>686</v>
      </c>
      <c r="L112" s="97">
        <v>100</v>
      </c>
      <c r="M112" s="88" t="s">
        <v>687</v>
      </c>
      <c r="N112" s="88" t="s">
        <v>57</v>
      </c>
      <c r="O112" s="119" t="s">
        <v>73</v>
      </c>
      <c r="P112" s="97">
        <v>100</v>
      </c>
      <c r="Q112" s="97">
        <v>100</v>
      </c>
      <c r="R112" s="97">
        <v>100</v>
      </c>
      <c r="S112" s="97">
        <v>100</v>
      </c>
      <c r="T112" s="97">
        <v>100</v>
      </c>
      <c r="U112" s="104" t="s">
        <v>688</v>
      </c>
      <c r="V112" s="129"/>
      <c r="W112" s="88" t="s">
        <v>689</v>
      </c>
      <c r="X112" s="89" t="s">
        <v>687</v>
      </c>
      <c r="Y112" s="89"/>
      <c r="Z112" s="89"/>
      <c r="AA112" s="155">
        <f>+'[5]Gastos por fuentes 2024'!F73</f>
        <v>2333624</v>
      </c>
      <c r="AB112" s="155"/>
      <c r="AC112" s="155"/>
      <c r="AD112" s="155">
        <f>SUM(AA112:AC112)</f>
        <v>2333624</v>
      </c>
      <c r="AE112" s="155">
        <f>+EVEN(AA112*3%+AA112)</f>
        <v>2403634</v>
      </c>
      <c r="AF112" s="155"/>
      <c r="AG112" s="155"/>
      <c r="AH112" s="155">
        <f>SUM(AE112:AG112)</f>
        <v>2403634</v>
      </c>
      <c r="AI112" s="155">
        <f>+EVEN(AE112*10%+AE112)</f>
        <v>2643998</v>
      </c>
      <c r="AJ112" s="155"/>
      <c r="AK112" s="155"/>
      <c r="AL112" s="155">
        <f>SUM(AI112:AK112)</f>
        <v>2643998</v>
      </c>
      <c r="AM112" s="155">
        <f>+EVEN(AI112*10%+AI112)</f>
        <v>2908398</v>
      </c>
      <c r="AN112" s="155"/>
      <c r="AO112" s="155"/>
      <c r="AP112" s="156">
        <f>SUM(AM112:AO112)</f>
        <v>2908398</v>
      </c>
      <c r="AQ112" s="155">
        <f>+AA112+AE112+AI112+AM112</f>
        <v>10289654</v>
      </c>
      <c r="AR112" s="155">
        <f>+AB112+AF112+AJ112+AN112</f>
        <v>0</v>
      </c>
      <c r="AS112" s="155">
        <f>+AC112+AG112+AK112+AO112</f>
        <v>0</v>
      </c>
      <c r="AT112" s="155">
        <f>+AD112+AH112+AL112+AP112</f>
        <v>10289654</v>
      </c>
      <c r="AU112" s="115" t="s">
        <v>61</v>
      </c>
      <c r="AV112" s="88" t="s">
        <v>645</v>
      </c>
      <c r="AW112" s="88" t="s">
        <v>646</v>
      </c>
      <c r="AX112" s="117" t="s">
        <v>659</v>
      </c>
      <c r="AY112" s="117" t="s">
        <v>65</v>
      </c>
      <c r="AZ112" s="117" t="s">
        <v>297</v>
      </c>
      <c r="BA112" s="117"/>
      <c r="BB112" s="143" t="s">
        <v>130</v>
      </c>
      <c r="BC112" s="150" t="s">
        <v>131</v>
      </c>
      <c r="BD112" s="93"/>
    </row>
    <row r="113" spans="1:56" s="69" customFormat="1" ht="38.4" x14ac:dyDescent="0.2">
      <c r="A113" s="246"/>
      <c r="B113" s="246"/>
      <c r="C113" s="248"/>
      <c r="D113" s="249"/>
      <c r="E113" s="239" t="s">
        <v>690</v>
      </c>
      <c r="F113" s="256">
        <f>+[5]Pond!AF10</f>
        <v>17</v>
      </c>
      <c r="G113" s="239" t="s">
        <v>623</v>
      </c>
      <c r="H113" s="253" t="s">
        <v>691</v>
      </c>
      <c r="I113" s="257" t="s">
        <v>692</v>
      </c>
      <c r="J113" s="258">
        <f>+[5]Pond!AF11</f>
        <v>42</v>
      </c>
      <c r="K113" s="88" t="s">
        <v>693</v>
      </c>
      <c r="L113" s="97">
        <v>30</v>
      </c>
      <c r="M113" s="88" t="s">
        <v>694</v>
      </c>
      <c r="N113" s="88" t="s">
        <v>695</v>
      </c>
      <c r="O113" s="119" t="s">
        <v>679</v>
      </c>
      <c r="P113" s="97">
        <v>90</v>
      </c>
      <c r="Q113" s="97">
        <v>90</v>
      </c>
      <c r="R113" s="97">
        <v>90</v>
      </c>
      <c r="S113" s="97">
        <v>90</v>
      </c>
      <c r="T113" s="97">
        <v>90</v>
      </c>
      <c r="U113" s="104"/>
      <c r="V113" s="104" t="str">
        <f>+M113</f>
        <v>Tiempo promedio de trámite para la resolución de autorizaciones ambientales otorgadas por la Corporación. (permiso de emisiones atmosféricas) (IMG Res.667/2016)</v>
      </c>
      <c r="W113" s="90"/>
      <c r="X113" s="90"/>
      <c r="Y113" s="90"/>
      <c r="Z113" s="90"/>
      <c r="AA113" s="237">
        <f>+'[5]Gastos por fuentes 2024'!D75+'[5]Gastos por fuentes 2024'!D76</f>
        <v>76103200</v>
      </c>
      <c r="AB113" s="237"/>
      <c r="AC113" s="237"/>
      <c r="AD113" s="237">
        <f>SUM(AA113:AC113)</f>
        <v>76103200</v>
      </c>
      <c r="AE113" s="237">
        <f>+EVEN(AA113*3%+AA113)</f>
        <v>78386296</v>
      </c>
      <c r="AF113" s="237"/>
      <c r="AG113" s="237"/>
      <c r="AH113" s="237">
        <f>SUM(AE113:AG113)</f>
        <v>78386296</v>
      </c>
      <c r="AI113" s="237">
        <f>+EVEN(AE113*10%+AE113)</f>
        <v>86224926</v>
      </c>
      <c r="AJ113" s="237"/>
      <c r="AK113" s="237"/>
      <c r="AL113" s="237">
        <f>SUM(AI113:AK113)</f>
        <v>86224926</v>
      </c>
      <c r="AM113" s="237">
        <f>+EVEN(AI113*10%+AI113)</f>
        <v>94847420</v>
      </c>
      <c r="AN113" s="237"/>
      <c r="AO113" s="237"/>
      <c r="AP113" s="238">
        <f>SUM(AM113:AO113)</f>
        <v>94847420</v>
      </c>
      <c r="AQ113" s="237">
        <f t="shared" ref="AQ113:AT128" si="33">+AA113+AE113+AI113+AM113</f>
        <v>335561842</v>
      </c>
      <c r="AR113" s="237">
        <f t="shared" si="33"/>
        <v>0</v>
      </c>
      <c r="AS113" s="237">
        <f t="shared" si="33"/>
        <v>0</v>
      </c>
      <c r="AT113" s="237">
        <f t="shared" si="33"/>
        <v>335561842</v>
      </c>
      <c r="AU113" s="115" t="s">
        <v>61</v>
      </c>
      <c r="AV113" s="88" t="s">
        <v>398</v>
      </c>
      <c r="AW113" s="88" t="s">
        <v>399</v>
      </c>
      <c r="AX113" s="117" t="s">
        <v>696</v>
      </c>
      <c r="AY113" s="117" t="s">
        <v>65</v>
      </c>
      <c r="AZ113" s="117" t="s">
        <v>297</v>
      </c>
      <c r="BA113" s="234"/>
      <c r="BB113" s="143" t="s">
        <v>130</v>
      </c>
      <c r="BC113" s="150" t="s">
        <v>131</v>
      </c>
      <c r="BD113" s="93"/>
    </row>
    <row r="114" spans="1:56" s="69" customFormat="1" ht="38.4" x14ac:dyDescent="0.2">
      <c r="A114" s="246"/>
      <c r="B114" s="246"/>
      <c r="C114" s="248"/>
      <c r="D114" s="249"/>
      <c r="E114" s="239"/>
      <c r="F114" s="256"/>
      <c r="G114" s="239"/>
      <c r="H114" s="253"/>
      <c r="I114" s="257"/>
      <c r="J114" s="258"/>
      <c r="K114" s="88" t="s">
        <v>697</v>
      </c>
      <c r="L114" s="97">
        <v>30</v>
      </c>
      <c r="M114" s="88" t="s">
        <v>698</v>
      </c>
      <c r="N114" s="88" t="s">
        <v>699</v>
      </c>
      <c r="O114" s="119" t="s">
        <v>73</v>
      </c>
      <c r="P114" s="97">
        <v>100</v>
      </c>
      <c r="Q114" s="97">
        <v>100</v>
      </c>
      <c r="R114" s="97">
        <v>100</v>
      </c>
      <c r="S114" s="97">
        <v>100</v>
      </c>
      <c r="T114" s="97">
        <v>100</v>
      </c>
      <c r="U114" s="104" t="s">
        <v>700</v>
      </c>
      <c r="V114" s="104" t="str">
        <f>+M114</f>
        <v>Porcentaje de autorizaciones ambientales con seguimiento (Permisos de emisiones atmosféricas) (IMG Res.667/16)</v>
      </c>
      <c r="W114" s="90"/>
      <c r="X114" s="90"/>
      <c r="Y114" s="90"/>
      <c r="Z114" s="90"/>
      <c r="AA114" s="237"/>
      <c r="AB114" s="237"/>
      <c r="AC114" s="237"/>
      <c r="AD114" s="237"/>
      <c r="AE114" s="237"/>
      <c r="AF114" s="237"/>
      <c r="AG114" s="237"/>
      <c r="AH114" s="237"/>
      <c r="AI114" s="237"/>
      <c r="AJ114" s="237"/>
      <c r="AK114" s="237"/>
      <c r="AL114" s="237"/>
      <c r="AM114" s="237">
        <f t="shared" ref="AM114:AM115" si="34">+EVEN(AI114*6%+AI114)</f>
        <v>0</v>
      </c>
      <c r="AN114" s="237"/>
      <c r="AO114" s="237"/>
      <c r="AP114" s="238"/>
      <c r="AQ114" s="237">
        <f t="shared" si="33"/>
        <v>0</v>
      </c>
      <c r="AR114" s="237">
        <f t="shared" si="33"/>
        <v>0</v>
      </c>
      <c r="AS114" s="237">
        <f t="shared" si="33"/>
        <v>0</v>
      </c>
      <c r="AT114" s="237">
        <f t="shared" si="33"/>
        <v>0</v>
      </c>
      <c r="AU114" s="115" t="s">
        <v>61</v>
      </c>
      <c r="AV114" s="88" t="s">
        <v>631</v>
      </c>
      <c r="AW114" s="88" t="s">
        <v>632</v>
      </c>
      <c r="AX114" s="117" t="s">
        <v>696</v>
      </c>
      <c r="AY114" s="117" t="s">
        <v>65</v>
      </c>
      <c r="AZ114" s="117" t="s">
        <v>297</v>
      </c>
      <c r="BA114" s="234"/>
      <c r="BB114" s="143" t="s">
        <v>130</v>
      </c>
      <c r="BC114" s="150" t="s">
        <v>131</v>
      </c>
      <c r="BD114" s="93"/>
    </row>
    <row r="115" spans="1:56" s="69" customFormat="1" ht="67.2" x14ac:dyDescent="0.2">
      <c r="A115" s="246"/>
      <c r="B115" s="246"/>
      <c r="C115" s="248"/>
      <c r="D115" s="249"/>
      <c r="E115" s="239"/>
      <c r="F115" s="256"/>
      <c r="G115" s="239"/>
      <c r="H115" s="253"/>
      <c r="I115" s="257"/>
      <c r="J115" s="258"/>
      <c r="K115" s="157" t="s">
        <v>701</v>
      </c>
      <c r="L115" s="158">
        <v>40</v>
      </c>
      <c r="M115" s="88" t="s">
        <v>702</v>
      </c>
      <c r="N115" s="88" t="s">
        <v>57</v>
      </c>
      <c r="O115" s="119" t="s">
        <v>73</v>
      </c>
      <c r="P115" s="85"/>
      <c r="Q115" s="97" t="s">
        <v>531</v>
      </c>
      <c r="R115" s="97" t="s">
        <v>531</v>
      </c>
      <c r="S115" s="97" t="s">
        <v>531</v>
      </c>
      <c r="T115" s="97" t="s">
        <v>531</v>
      </c>
      <c r="U115" s="104" t="s">
        <v>703</v>
      </c>
      <c r="V115" s="129"/>
      <c r="W115" s="88" t="s">
        <v>704</v>
      </c>
      <c r="X115" s="89" t="s">
        <v>705</v>
      </c>
      <c r="Y115" s="89"/>
      <c r="Z115" s="89"/>
      <c r="AA115" s="237"/>
      <c r="AB115" s="237"/>
      <c r="AC115" s="237"/>
      <c r="AD115" s="237"/>
      <c r="AE115" s="237"/>
      <c r="AF115" s="237"/>
      <c r="AG115" s="237"/>
      <c r="AH115" s="237"/>
      <c r="AI115" s="237"/>
      <c r="AJ115" s="237"/>
      <c r="AK115" s="237"/>
      <c r="AL115" s="237"/>
      <c r="AM115" s="237">
        <f t="shared" si="34"/>
        <v>0</v>
      </c>
      <c r="AN115" s="237"/>
      <c r="AO115" s="237"/>
      <c r="AP115" s="238"/>
      <c r="AQ115" s="237">
        <f t="shared" si="33"/>
        <v>0</v>
      </c>
      <c r="AR115" s="237">
        <f t="shared" si="33"/>
        <v>0</v>
      </c>
      <c r="AS115" s="237">
        <f t="shared" si="33"/>
        <v>0</v>
      </c>
      <c r="AT115" s="237">
        <f t="shared" si="33"/>
        <v>0</v>
      </c>
      <c r="AU115" s="115" t="s">
        <v>61</v>
      </c>
      <c r="AV115" s="88" t="s">
        <v>706</v>
      </c>
      <c r="AW115" s="88" t="s">
        <v>707</v>
      </c>
      <c r="AX115" s="117" t="s">
        <v>696</v>
      </c>
      <c r="AY115" s="117" t="s">
        <v>65</v>
      </c>
      <c r="AZ115" s="117" t="s">
        <v>297</v>
      </c>
      <c r="BA115" s="234"/>
      <c r="BB115" s="143" t="s">
        <v>130</v>
      </c>
      <c r="BC115" s="150" t="s">
        <v>131</v>
      </c>
      <c r="BD115" s="93"/>
    </row>
    <row r="116" spans="1:56" s="69" customFormat="1" ht="84.6" x14ac:dyDescent="0.2">
      <c r="A116" s="246"/>
      <c r="B116" s="246"/>
      <c r="C116" s="248"/>
      <c r="D116" s="249"/>
      <c r="E116" s="239"/>
      <c r="F116" s="256"/>
      <c r="G116" s="239"/>
      <c r="H116" s="110" t="s">
        <v>708</v>
      </c>
      <c r="I116" s="98" t="s">
        <v>709</v>
      </c>
      <c r="J116" s="99">
        <f>+[5]Pond!AF12</f>
        <v>27</v>
      </c>
      <c r="K116" s="83" t="s">
        <v>710</v>
      </c>
      <c r="L116" s="99">
        <v>100</v>
      </c>
      <c r="M116" s="83" t="s">
        <v>711</v>
      </c>
      <c r="N116" s="83" t="s">
        <v>57</v>
      </c>
      <c r="O116" s="119" t="s">
        <v>73</v>
      </c>
      <c r="P116" s="97">
        <v>100</v>
      </c>
      <c r="Q116" s="97">
        <v>100</v>
      </c>
      <c r="R116" s="97">
        <v>100</v>
      </c>
      <c r="S116" s="97">
        <v>100</v>
      </c>
      <c r="T116" s="97">
        <v>100</v>
      </c>
      <c r="U116" s="104" t="s">
        <v>712</v>
      </c>
      <c r="V116" s="129"/>
      <c r="W116" s="90"/>
      <c r="X116" s="90"/>
      <c r="Y116" s="90"/>
      <c r="Z116" s="90"/>
      <c r="AA116" s="115">
        <f>+'[5]Gastos por fuentes 2024'!D77</f>
        <v>20782800</v>
      </c>
      <c r="AB116" s="115"/>
      <c r="AC116" s="115"/>
      <c r="AD116" s="115">
        <f>SUM(AA116:AC116)</f>
        <v>20782800</v>
      </c>
      <c r="AE116" s="115">
        <f>+EVEN(AA116*3%+AA116)</f>
        <v>21406284</v>
      </c>
      <c r="AF116" s="115"/>
      <c r="AG116" s="115"/>
      <c r="AH116" s="115">
        <f>SUM(AE116:AG116)</f>
        <v>21406284</v>
      </c>
      <c r="AI116" s="115">
        <f>+EVEN(AE116*10%+AE116)</f>
        <v>23546914</v>
      </c>
      <c r="AJ116" s="115"/>
      <c r="AK116" s="115"/>
      <c r="AL116" s="115">
        <f>SUM(AI116:AK116)</f>
        <v>23546914</v>
      </c>
      <c r="AM116" s="115">
        <f>+EVEN(AI116*10%+AI116)</f>
        <v>25901606</v>
      </c>
      <c r="AN116" s="115"/>
      <c r="AO116" s="115"/>
      <c r="AP116" s="116">
        <f>SUM(AM116:AO116)</f>
        <v>25901606</v>
      </c>
      <c r="AQ116" s="115">
        <f t="shared" si="33"/>
        <v>91637604</v>
      </c>
      <c r="AR116" s="115">
        <f t="shared" si="33"/>
        <v>0</v>
      </c>
      <c r="AS116" s="115">
        <f t="shared" si="33"/>
        <v>0</v>
      </c>
      <c r="AT116" s="115">
        <f t="shared" si="33"/>
        <v>91637604</v>
      </c>
      <c r="AU116" s="115" t="s">
        <v>61</v>
      </c>
      <c r="AV116" s="88" t="s">
        <v>706</v>
      </c>
      <c r="AW116" s="83" t="s">
        <v>713</v>
      </c>
      <c r="AX116" s="117" t="s">
        <v>696</v>
      </c>
      <c r="AY116" s="117" t="s">
        <v>65</v>
      </c>
      <c r="AZ116" s="117" t="s">
        <v>297</v>
      </c>
      <c r="BA116" s="117"/>
      <c r="BB116" s="143" t="s">
        <v>130</v>
      </c>
      <c r="BC116" s="150" t="s">
        <v>131</v>
      </c>
      <c r="BD116" s="93"/>
    </row>
    <row r="117" spans="1:56" s="69" customFormat="1" ht="59.4" x14ac:dyDescent="0.2">
      <c r="A117" s="246"/>
      <c r="B117" s="246"/>
      <c r="C117" s="248"/>
      <c r="D117" s="249"/>
      <c r="E117" s="239"/>
      <c r="F117" s="256"/>
      <c r="G117" s="239"/>
      <c r="H117" s="110" t="s">
        <v>714</v>
      </c>
      <c r="I117" s="98" t="s">
        <v>715</v>
      </c>
      <c r="J117" s="99">
        <f>+[5]Pond!AF13</f>
        <v>31</v>
      </c>
      <c r="K117" s="83" t="s">
        <v>716</v>
      </c>
      <c r="L117" s="99">
        <v>100</v>
      </c>
      <c r="M117" s="83" t="s">
        <v>717</v>
      </c>
      <c r="N117" s="83" t="s">
        <v>57</v>
      </c>
      <c r="O117" s="83" t="s">
        <v>58</v>
      </c>
      <c r="P117" s="85">
        <v>3</v>
      </c>
      <c r="Q117" s="85">
        <v>3</v>
      </c>
      <c r="R117" s="85">
        <v>3</v>
      </c>
      <c r="S117" s="85">
        <v>3</v>
      </c>
      <c r="T117" s="85">
        <v>3</v>
      </c>
      <c r="U117" s="86" t="s">
        <v>718</v>
      </c>
      <c r="V117" s="118"/>
      <c r="W117" s="88" t="s">
        <v>719</v>
      </c>
      <c r="X117" s="89" t="s">
        <v>720</v>
      </c>
      <c r="Y117" s="89"/>
      <c r="Z117" s="89"/>
      <c r="AA117" s="115">
        <f>+'[5]Gastos por fuentes 2024'!D78</f>
        <v>47398932</v>
      </c>
      <c r="AB117" s="115"/>
      <c r="AC117" s="115"/>
      <c r="AD117" s="115">
        <f>SUM(AA117:AC117)</f>
        <v>47398932</v>
      </c>
      <c r="AE117" s="115">
        <f>+EVEN(AA117*3%+AA117)</f>
        <v>48820900</v>
      </c>
      <c r="AF117" s="115"/>
      <c r="AG117" s="115"/>
      <c r="AH117" s="115">
        <f>SUM(AE117:AG117)</f>
        <v>48820900</v>
      </c>
      <c r="AI117" s="115">
        <f>+EVEN(AE117*10%+AE117)</f>
        <v>53702990</v>
      </c>
      <c r="AJ117" s="115"/>
      <c r="AK117" s="115"/>
      <c r="AL117" s="115">
        <f>SUM(AI117:AK117)</f>
        <v>53702990</v>
      </c>
      <c r="AM117" s="115">
        <f>+EVEN(AI117*10%+AI117)</f>
        <v>59073290</v>
      </c>
      <c r="AN117" s="115"/>
      <c r="AO117" s="115"/>
      <c r="AP117" s="116">
        <f>SUM(AM117:AO117)</f>
        <v>59073290</v>
      </c>
      <c r="AQ117" s="115">
        <f t="shared" si="33"/>
        <v>208996112</v>
      </c>
      <c r="AR117" s="115">
        <f t="shared" si="33"/>
        <v>0</v>
      </c>
      <c r="AS117" s="115">
        <f t="shared" si="33"/>
        <v>0</v>
      </c>
      <c r="AT117" s="115">
        <f t="shared" si="33"/>
        <v>208996112</v>
      </c>
      <c r="AU117" s="115" t="s">
        <v>61</v>
      </c>
      <c r="AV117" s="88" t="s">
        <v>721</v>
      </c>
      <c r="AW117" s="83" t="s">
        <v>722</v>
      </c>
      <c r="AX117" s="117" t="s">
        <v>696</v>
      </c>
      <c r="AY117" s="117" t="s">
        <v>65</v>
      </c>
      <c r="AZ117" s="117" t="s">
        <v>297</v>
      </c>
      <c r="BA117" s="117"/>
      <c r="BB117" s="143" t="s">
        <v>130</v>
      </c>
      <c r="BC117" s="150" t="s">
        <v>131</v>
      </c>
      <c r="BD117" s="93"/>
    </row>
    <row r="118" spans="1:56" s="69" customFormat="1" ht="86.4" x14ac:dyDescent="0.2">
      <c r="A118" s="246"/>
      <c r="B118" s="246"/>
      <c r="C118" s="248"/>
      <c r="D118" s="249"/>
      <c r="E118" s="255" t="s">
        <v>723</v>
      </c>
      <c r="F118" s="256">
        <f>+[5]Pond!AF14</f>
        <v>45</v>
      </c>
      <c r="G118" s="255" t="s">
        <v>623</v>
      </c>
      <c r="H118" s="255" t="s">
        <v>724</v>
      </c>
      <c r="I118" s="257" t="s">
        <v>725</v>
      </c>
      <c r="J118" s="258">
        <f>+[5]Pond!AF15</f>
        <v>52</v>
      </c>
      <c r="K118" s="83" t="s">
        <v>726</v>
      </c>
      <c r="L118" s="99">
        <v>25</v>
      </c>
      <c r="M118" s="83" t="s">
        <v>727</v>
      </c>
      <c r="N118" s="83" t="s">
        <v>728</v>
      </c>
      <c r="O118" s="83" t="s">
        <v>73</v>
      </c>
      <c r="P118" s="85">
        <v>100</v>
      </c>
      <c r="Q118" s="85">
        <v>100</v>
      </c>
      <c r="R118" s="85">
        <v>100</v>
      </c>
      <c r="S118" s="85">
        <v>100</v>
      </c>
      <c r="T118" s="85">
        <v>100</v>
      </c>
      <c r="U118" s="86" t="s">
        <v>729</v>
      </c>
      <c r="V118" s="94" t="str">
        <f>+M118</f>
        <v>Porcentaje de sectores con acompañamiento para la reconversión hacia sistemas sostenibles de producción (IMG Res. 667 /16) (PGAR L3.75.1)</v>
      </c>
      <c r="W118" s="88" t="s">
        <v>730</v>
      </c>
      <c r="X118" s="89" t="s">
        <v>731</v>
      </c>
      <c r="Y118" s="90"/>
      <c r="Z118" s="90"/>
      <c r="AA118" s="237">
        <f>+'[5]Gastos por fuentes 2024'!D80</f>
        <v>338812350</v>
      </c>
      <c r="AB118" s="237"/>
      <c r="AC118" s="237"/>
      <c r="AD118" s="237">
        <f>SUM(AA118:AC118)</f>
        <v>338812350</v>
      </c>
      <c r="AE118" s="237">
        <f>+EVEN(AA118*3%+AA118)</f>
        <v>348976722</v>
      </c>
      <c r="AF118" s="237"/>
      <c r="AG118" s="237"/>
      <c r="AH118" s="237">
        <f>SUM(AE118:AG118)</f>
        <v>348976722</v>
      </c>
      <c r="AI118" s="237">
        <f>+EVEN(AE118*10%+AE118)</f>
        <v>383874396</v>
      </c>
      <c r="AJ118" s="237"/>
      <c r="AK118" s="237"/>
      <c r="AL118" s="237">
        <f>SUM(AI118:AK118)</f>
        <v>383874396</v>
      </c>
      <c r="AM118" s="237">
        <f>+EVEN(AI118*10%+AI118)</f>
        <v>422261836</v>
      </c>
      <c r="AN118" s="237"/>
      <c r="AO118" s="237"/>
      <c r="AP118" s="238">
        <f>SUM(AM118:AO118)</f>
        <v>422261836</v>
      </c>
      <c r="AQ118" s="237">
        <f t="shared" si="33"/>
        <v>1493925304</v>
      </c>
      <c r="AR118" s="237">
        <f t="shared" si="33"/>
        <v>0</v>
      </c>
      <c r="AS118" s="237">
        <f t="shared" si="33"/>
        <v>0</v>
      </c>
      <c r="AT118" s="237">
        <f t="shared" si="33"/>
        <v>1493925304</v>
      </c>
      <c r="AU118" s="115" t="s">
        <v>61</v>
      </c>
      <c r="AV118" s="88" t="s">
        <v>732</v>
      </c>
      <c r="AW118" s="83" t="s">
        <v>733</v>
      </c>
      <c r="AX118" s="117" t="s">
        <v>734</v>
      </c>
      <c r="AY118" s="117" t="s">
        <v>127</v>
      </c>
      <c r="AZ118" s="117" t="s">
        <v>128</v>
      </c>
      <c r="BA118" s="234" t="s">
        <v>735</v>
      </c>
      <c r="BB118" s="143" t="s">
        <v>130</v>
      </c>
      <c r="BC118" s="150" t="s">
        <v>131</v>
      </c>
      <c r="BD118" s="93" t="s">
        <v>132</v>
      </c>
    </row>
    <row r="119" spans="1:56" s="69" customFormat="1" ht="38.4" x14ac:dyDescent="0.2">
      <c r="A119" s="246"/>
      <c r="B119" s="246"/>
      <c r="C119" s="248"/>
      <c r="D119" s="249"/>
      <c r="E119" s="255"/>
      <c r="F119" s="256"/>
      <c r="G119" s="255"/>
      <c r="H119" s="255"/>
      <c r="I119" s="257"/>
      <c r="J119" s="258"/>
      <c r="K119" s="83" t="s">
        <v>736</v>
      </c>
      <c r="L119" s="99">
        <v>25</v>
      </c>
      <c r="M119" s="83" t="s">
        <v>737</v>
      </c>
      <c r="N119" s="83" t="s">
        <v>57</v>
      </c>
      <c r="O119" s="83" t="s">
        <v>104</v>
      </c>
      <c r="P119" s="85">
        <v>1</v>
      </c>
      <c r="Q119" s="85">
        <v>2</v>
      </c>
      <c r="R119" s="85">
        <v>2</v>
      </c>
      <c r="S119" s="85">
        <v>1</v>
      </c>
      <c r="T119" s="85">
        <f>SUM(P119:S119)</f>
        <v>6</v>
      </c>
      <c r="U119" s="86" t="s">
        <v>738</v>
      </c>
      <c r="V119" s="87"/>
      <c r="W119" s="90"/>
      <c r="X119" s="90"/>
      <c r="Y119" s="90"/>
      <c r="Z119" s="90"/>
      <c r="AA119" s="237"/>
      <c r="AB119" s="237"/>
      <c r="AC119" s="237"/>
      <c r="AD119" s="237"/>
      <c r="AE119" s="237"/>
      <c r="AF119" s="237"/>
      <c r="AG119" s="237"/>
      <c r="AH119" s="237"/>
      <c r="AI119" s="237"/>
      <c r="AJ119" s="237"/>
      <c r="AK119" s="237"/>
      <c r="AL119" s="237"/>
      <c r="AM119" s="237">
        <f>+EVEN(AI119*6%+AI119)</f>
        <v>0</v>
      </c>
      <c r="AN119" s="237"/>
      <c r="AO119" s="237"/>
      <c r="AP119" s="238"/>
      <c r="AQ119" s="237">
        <f t="shared" si="33"/>
        <v>0</v>
      </c>
      <c r="AR119" s="237">
        <f t="shared" si="33"/>
        <v>0</v>
      </c>
      <c r="AS119" s="237">
        <f t="shared" si="33"/>
        <v>0</v>
      </c>
      <c r="AT119" s="237">
        <f t="shared" si="33"/>
        <v>0</v>
      </c>
      <c r="AU119" s="115" t="s">
        <v>61</v>
      </c>
      <c r="AV119" s="88" t="s">
        <v>739</v>
      </c>
      <c r="AW119" s="83" t="s">
        <v>740</v>
      </c>
      <c r="AX119" s="117" t="s">
        <v>734</v>
      </c>
      <c r="AY119" s="117" t="s">
        <v>65</v>
      </c>
      <c r="AZ119" s="117" t="s">
        <v>297</v>
      </c>
      <c r="BA119" s="234"/>
      <c r="BB119" s="143" t="s">
        <v>130</v>
      </c>
      <c r="BC119" s="150" t="s">
        <v>131</v>
      </c>
      <c r="BD119" s="93" t="s">
        <v>132</v>
      </c>
    </row>
    <row r="120" spans="1:56" s="69" customFormat="1" ht="38.4" x14ac:dyDescent="0.2">
      <c r="A120" s="246"/>
      <c r="B120" s="246"/>
      <c r="C120" s="248"/>
      <c r="D120" s="249"/>
      <c r="E120" s="255"/>
      <c r="F120" s="256"/>
      <c r="G120" s="255"/>
      <c r="H120" s="255"/>
      <c r="I120" s="257"/>
      <c r="J120" s="258"/>
      <c r="K120" s="83" t="s">
        <v>741</v>
      </c>
      <c r="L120" s="99">
        <v>25</v>
      </c>
      <c r="M120" s="83" t="s">
        <v>742</v>
      </c>
      <c r="N120" s="83" t="s">
        <v>57</v>
      </c>
      <c r="O120" s="83" t="s">
        <v>104</v>
      </c>
      <c r="P120" s="159">
        <v>3</v>
      </c>
      <c r="Q120" s="85">
        <v>3</v>
      </c>
      <c r="R120" s="85">
        <v>3</v>
      </c>
      <c r="S120" s="85">
        <v>3</v>
      </c>
      <c r="T120" s="85">
        <f>SUM(P120:S120)</f>
        <v>12</v>
      </c>
      <c r="U120" s="86" t="s">
        <v>743</v>
      </c>
      <c r="V120" s="87"/>
      <c r="W120" s="88" t="s">
        <v>744</v>
      </c>
      <c r="X120" s="89" t="s">
        <v>745</v>
      </c>
      <c r="Y120" s="90"/>
      <c r="Z120" s="90"/>
      <c r="AA120" s="237"/>
      <c r="AB120" s="237"/>
      <c r="AC120" s="237"/>
      <c r="AD120" s="237"/>
      <c r="AE120" s="237"/>
      <c r="AF120" s="237"/>
      <c r="AG120" s="237"/>
      <c r="AH120" s="237"/>
      <c r="AI120" s="237"/>
      <c r="AJ120" s="237"/>
      <c r="AK120" s="237"/>
      <c r="AL120" s="237"/>
      <c r="AM120" s="237">
        <f>+EVEN(AI120*6%+AI120)</f>
        <v>0</v>
      </c>
      <c r="AN120" s="237"/>
      <c r="AO120" s="237"/>
      <c r="AP120" s="238"/>
      <c r="AQ120" s="237">
        <f t="shared" si="33"/>
        <v>0</v>
      </c>
      <c r="AR120" s="237">
        <f t="shared" si="33"/>
        <v>0</v>
      </c>
      <c r="AS120" s="237">
        <f t="shared" si="33"/>
        <v>0</v>
      </c>
      <c r="AT120" s="237">
        <f t="shared" si="33"/>
        <v>0</v>
      </c>
      <c r="AU120" s="115" t="s">
        <v>61</v>
      </c>
      <c r="AV120" s="88" t="s">
        <v>85</v>
      </c>
      <c r="AW120" s="83" t="s">
        <v>85</v>
      </c>
      <c r="AX120" s="117" t="s">
        <v>734</v>
      </c>
      <c r="AY120" s="117" t="s">
        <v>65</v>
      </c>
      <c r="AZ120" s="117" t="s">
        <v>297</v>
      </c>
      <c r="BA120" s="234"/>
      <c r="BB120" s="143" t="s">
        <v>130</v>
      </c>
      <c r="BC120" s="150" t="s">
        <v>131</v>
      </c>
      <c r="BD120" s="93" t="s">
        <v>132</v>
      </c>
    </row>
    <row r="121" spans="1:56" s="69" customFormat="1" ht="48" x14ac:dyDescent="0.2">
      <c r="A121" s="246"/>
      <c r="B121" s="246"/>
      <c r="C121" s="248"/>
      <c r="D121" s="249"/>
      <c r="E121" s="255"/>
      <c r="F121" s="256"/>
      <c r="G121" s="255"/>
      <c r="H121" s="255" t="s">
        <v>746</v>
      </c>
      <c r="I121" s="257"/>
      <c r="J121" s="258"/>
      <c r="K121" s="83" t="s">
        <v>747</v>
      </c>
      <c r="L121" s="99">
        <v>25</v>
      </c>
      <c r="M121" s="83" t="s">
        <v>748</v>
      </c>
      <c r="N121" s="83" t="s">
        <v>57</v>
      </c>
      <c r="O121" s="83" t="s">
        <v>81</v>
      </c>
      <c r="P121" s="159">
        <v>100</v>
      </c>
      <c r="Q121" s="85">
        <v>100</v>
      </c>
      <c r="R121" s="85">
        <v>100</v>
      </c>
      <c r="S121" s="85">
        <v>100</v>
      </c>
      <c r="T121" s="85">
        <v>100</v>
      </c>
      <c r="U121" s="86" t="s">
        <v>749</v>
      </c>
      <c r="V121" s="87"/>
      <c r="W121" s="88" t="s">
        <v>750</v>
      </c>
      <c r="X121" s="89" t="s">
        <v>751</v>
      </c>
      <c r="Y121" s="90"/>
      <c r="Z121" s="90"/>
      <c r="AA121" s="237"/>
      <c r="AB121" s="237"/>
      <c r="AC121" s="237"/>
      <c r="AD121" s="237"/>
      <c r="AE121" s="237"/>
      <c r="AF121" s="237"/>
      <c r="AG121" s="237"/>
      <c r="AH121" s="237"/>
      <c r="AI121" s="237"/>
      <c r="AJ121" s="237"/>
      <c r="AK121" s="237"/>
      <c r="AL121" s="237"/>
      <c r="AM121" s="237">
        <f>+EVEN(AI121*6%+AI121)</f>
        <v>0</v>
      </c>
      <c r="AN121" s="237"/>
      <c r="AO121" s="237"/>
      <c r="AP121" s="238"/>
      <c r="AQ121" s="237">
        <f t="shared" si="33"/>
        <v>0</v>
      </c>
      <c r="AR121" s="237">
        <f t="shared" si="33"/>
        <v>0</v>
      </c>
      <c r="AS121" s="237">
        <f t="shared" si="33"/>
        <v>0</v>
      </c>
      <c r="AT121" s="237">
        <f t="shared" si="33"/>
        <v>0</v>
      </c>
      <c r="AU121" s="115" t="s">
        <v>61</v>
      </c>
      <c r="AV121" s="88" t="s">
        <v>85</v>
      </c>
      <c r="AW121" s="83" t="s">
        <v>85</v>
      </c>
      <c r="AX121" s="117" t="s">
        <v>734</v>
      </c>
      <c r="AY121" s="117" t="s">
        <v>65</v>
      </c>
      <c r="AZ121" s="117" t="s">
        <v>297</v>
      </c>
      <c r="BA121" s="234"/>
      <c r="BB121" s="143" t="s">
        <v>130</v>
      </c>
      <c r="BC121" s="150" t="s">
        <v>131</v>
      </c>
      <c r="BD121" s="93" t="s">
        <v>132</v>
      </c>
    </row>
    <row r="122" spans="1:56" s="69" customFormat="1" ht="76.8" x14ac:dyDescent="0.2">
      <c r="A122" s="246"/>
      <c r="B122" s="246"/>
      <c r="C122" s="248"/>
      <c r="D122" s="249"/>
      <c r="E122" s="255"/>
      <c r="F122" s="256"/>
      <c r="G122" s="255"/>
      <c r="H122" s="255"/>
      <c r="I122" s="257" t="s">
        <v>752</v>
      </c>
      <c r="J122" s="258">
        <f>+[5]Pond!AF16</f>
        <v>48</v>
      </c>
      <c r="K122" s="83" t="s">
        <v>753</v>
      </c>
      <c r="L122" s="99">
        <v>30</v>
      </c>
      <c r="M122" s="83" t="s">
        <v>754</v>
      </c>
      <c r="N122" s="83" t="s">
        <v>755</v>
      </c>
      <c r="O122" s="83" t="s">
        <v>73</v>
      </c>
      <c r="P122" s="85">
        <v>28</v>
      </c>
      <c r="Q122" s="85">
        <v>24</v>
      </c>
      <c r="R122" s="85">
        <v>24</v>
      </c>
      <c r="S122" s="85">
        <v>24</v>
      </c>
      <c r="T122" s="85">
        <f>SUM(P122:S122)</f>
        <v>100</v>
      </c>
      <c r="U122" s="104" t="s">
        <v>756</v>
      </c>
      <c r="V122" s="89" t="str">
        <f>+M122</f>
        <v>Implementación del programa regional de negocios verdes por la autoridad ambiental (IMG Res. 667 /16) (PGAR L3.74.1)</v>
      </c>
      <c r="W122" s="88" t="s">
        <v>757</v>
      </c>
      <c r="X122" s="89" t="s">
        <v>758</v>
      </c>
      <c r="Y122" s="90"/>
      <c r="Z122" s="90"/>
      <c r="AA122" s="237">
        <f>+'[5]Gastos por fuentes 2024'!D81</f>
        <v>253922705</v>
      </c>
      <c r="AB122" s="237"/>
      <c r="AC122" s="237"/>
      <c r="AD122" s="237">
        <f>SUM(AA122:AC122)</f>
        <v>253922705</v>
      </c>
      <c r="AE122" s="237">
        <f>+EVEN(AA122*3%+AA122)+30000000</f>
        <v>291540388</v>
      </c>
      <c r="AF122" s="237"/>
      <c r="AG122" s="237"/>
      <c r="AH122" s="237">
        <f>SUM(AE122:AG122)</f>
        <v>291540388</v>
      </c>
      <c r="AI122" s="237">
        <f>+EVEN(AE122*10%+AE122)</f>
        <v>320694428</v>
      </c>
      <c r="AJ122" s="237"/>
      <c r="AK122" s="237"/>
      <c r="AL122" s="237">
        <f>SUM(AI122:AK122)</f>
        <v>320694428</v>
      </c>
      <c r="AM122" s="237">
        <f>+EVEN(AI122*10%+AI122)</f>
        <v>352763872</v>
      </c>
      <c r="AN122" s="237"/>
      <c r="AO122" s="237"/>
      <c r="AP122" s="238">
        <f>SUM(AM122:AO122)</f>
        <v>352763872</v>
      </c>
      <c r="AQ122" s="237">
        <f t="shared" si="33"/>
        <v>1218921393</v>
      </c>
      <c r="AR122" s="237">
        <f t="shared" si="33"/>
        <v>0</v>
      </c>
      <c r="AS122" s="237">
        <f t="shared" si="33"/>
        <v>0</v>
      </c>
      <c r="AT122" s="237">
        <f t="shared" si="33"/>
        <v>1218921393</v>
      </c>
      <c r="AU122" s="115" t="s">
        <v>61</v>
      </c>
      <c r="AV122" s="88" t="s">
        <v>732</v>
      </c>
      <c r="AW122" s="83" t="s">
        <v>733</v>
      </c>
      <c r="AX122" s="117" t="s">
        <v>734</v>
      </c>
      <c r="AY122" s="117" t="s">
        <v>65</v>
      </c>
      <c r="AZ122" s="117" t="s">
        <v>297</v>
      </c>
      <c r="BA122" s="234" t="s">
        <v>735</v>
      </c>
      <c r="BB122" s="143" t="s">
        <v>130</v>
      </c>
      <c r="BC122" s="150" t="s">
        <v>131</v>
      </c>
      <c r="BD122" s="93" t="s">
        <v>132</v>
      </c>
    </row>
    <row r="123" spans="1:56" s="69" customFormat="1" ht="48" x14ac:dyDescent="0.2">
      <c r="A123" s="246"/>
      <c r="B123" s="246"/>
      <c r="C123" s="248"/>
      <c r="D123" s="249"/>
      <c r="E123" s="255"/>
      <c r="F123" s="256"/>
      <c r="G123" s="255"/>
      <c r="H123" s="255"/>
      <c r="I123" s="257"/>
      <c r="J123" s="258"/>
      <c r="K123" s="83" t="s">
        <v>759</v>
      </c>
      <c r="L123" s="99">
        <v>30</v>
      </c>
      <c r="M123" s="83" t="s">
        <v>760</v>
      </c>
      <c r="N123" s="83" t="s">
        <v>57</v>
      </c>
      <c r="O123" s="83" t="s">
        <v>58</v>
      </c>
      <c r="P123" s="85">
        <v>20</v>
      </c>
      <c r="Q123" s="85">
        <v>20</v>
      </c>
      <c r="R123" s="85">
        <v>20</v>
      </c>
      <c r="S123" s="85">
        <v>20</v>
      </c>
      <c r="T123" s="85">
        <f>SUM(P123:S123)</f>
        <v>80</v>
      </c>
      <c r="U123" s="86" t="s">
        <v>761</v>
      </c>
      <c r="V123" s="94"/>
      <c r="W123" s="88" t="s">
        <v>762</v>
      </c>
      <c r="X123" s="89" t="s">
        <v>763</v>
      </c>
      <c r="Y123" s="90" t="s">
        <v>764</v>
      </c>
      <c r="Z123" s="90" t="s">
        <v>765</v>
      </c>
      <c r="AA123" s="237"/>
      <c r="AB123" s="237"/>
      <c r="AC123" s="237"/>
      <c r="AD123" s="237"/>
      <c r="AE123" s="237"/>
      <c r="AF123" s="237"/>
      <c r="AG123" s="237"/>
      <c r="AH123" s="237"/>
      <c r="AI123" s="237"/>
      <c r="AJ123" s="237"/>
      <c r="AK123" s="237"/>
      <c r="AL123" s="237"/>
      <c r="AM123" s="237">
        <f>+EVEN(AI123*6%+AI123)</f>
        <v>0</v>
      </c>
      <c r="AN123" s="237"/>
      <c r="AO123" s="237"/>
      <c r="AP123" s="238"/>
      <c r="AQ123" s="237">
        <f t="shared" si="33"/>
        <v>0</v>
      </c>
      <c r="AR123" s="237">
        <f t="shared" si="33"/>
        <v>0</v>
      </c>
      <c r="AS123" s="237">
        <f t="shared" si="33"/>
        <v>0</v>
      </c>
      <c r="AT123" s="237">
        <f t="shared" si="33"/>
        <v>0</v>
      </c>
      <c r="AU123" s="115" t="s">
        <v>61</v>
      </c>
      <c r="AV123" s="88" t="s">
        <v>732</v>
      </c>
      <c r="AW123" s="83" t="s">
        <v>733</v>
      </c>
      <c r="AX123" s="117" t="s">
        <v>734</v>
      </c>
      <c r="AY123" s="117" t="s">
        <v>127</v>
      </c>
      <c r="AZ123" s="117" t="s">
        <v>128</v>
      </c>
      <c r="BA123" s="234"/>
      <c r="BB123" s="143" t="s">
        <v>130</v>
      </c>
      <c r="BC123" s="150" t="s">
        <v>131</v>
      </c>
      <c r="BD123" s="93" t="s">
        <v>132</v>
      </c>
    </row>
    <row r="124" spans="1:56" s="69" customFormat="1" ht="38.4" x14ac:dyDescent="0.2">
      <c r="A124" s="246"/>
      <c r="B124" s="246"/>
      <c r="C124" s="248"/>
      <c r="D124" s="249"/>
      <c r="E124" s="255"/>
      <c r="F124" s="256"/>
      <c r="G124" s="255"/>
      <c r="H124" s="255"/>
      <c r="I124" s="257"/>
      <c r="J124" s="258"/>
      <c r="K124" s="83" t="s">
        <v>766</v>
      </c>
      <c r="L124" s="99">
        <v>40</v>
      </c>
      <c r="M124" s="83" t="s">
        <v>767</v>
      </c>
      <c r="N124" s="83" t="s">
        <v>57</v>
      </c>
      <c r="O124" s="83" t="s">
        <v>104</v>
      </c>
      <c r="P124" s="85">
        <v>1</v>
      </c>
      <c r="Q124" s="85">
        <v>1</v>
      </c>
      <c r="R124" s="85">
        <v>1</v>
      </c>
      <c r="S124" s="85">
        <v>1</v>
      </c>
      <c r="T124" s="85">
        <f>SUM(P124:S124)</f>
        <v>4</v>
      </c>
      <c r="U124" s="86" t="s">
        <v>768</v>
      </c>
      <c r="V124" s="87"/>
      <c r="W124" s="90"/>
      <c r="X124" s="90"/>
      <c r="Y124" s="90"/>
      <c r="Z124" s="90"/>
      <c r="AA124" s="237"/>
      <c r="AB124" s="237"/>
      <c r="AC124" s="237"/>
      <c r="AD124" s="237"/>
      <c r="AE124" s="237"/>
      <c r="AF124" s="237"/>
      <c r="AG124" s="237"/>
      <c r="AH124" s="237"/>
      <c r="AI124" s="237"/>
      <c r="AJ124" s="237"/>
      <c r="AK124" s="237"/>
      <c r="AL124" s="237"/>
      <c r="AM124" s="237">
        <f>+EVEN(AI124*6%+AI124)</f>
        <v>0</v>
      </c>
      <c r="AN124" s="237"/>
      <c r="AO124" s="237"/>
      <c r="AP124" s="238"/>
      <c r="AQ124" s="237">
        <f t="shared" si="33"/>
        <v>0</v>
      </c>
      <c r="AR124" s="237">
        <f t="shared" si="33"/>
        <v>0</v>
      </c>
      <c r="AS124" s="237">
        <f t="shared" si="33"/>
        <v>0</v>
      </c>
      <c r="AT124" s="237">
        <f t="shared" si="33"/>
        <v>0</v>
      </c>
      <c r="AU124" s="115" t="s">
        <v>61</v>
      </c>
      <c r="AV124" s="88" t="s">
        <v>732</v>
      </c>
      <c r="AW124" s="83" t="s">
        <v>733</v>
      </c>
      <c r="AX124" s="117" t="s">
        <v>734</v>
      </c>
      <c r="AY124" s="117" t="s">
        <v>127</v>
      </c>
      <c r="AZ124" s="117" t="s">
        <v>128</v>
      </c>
      <c r="BA124" s="234"/>
      <c r="BB124" s="143" t="s">
        <v>130</v>
      </c>
      <c r="BC124" s="150" t="s">
        <v>131</v>
      </c>
      <c r="BD124" s="93" t="s">
        <v>132</v>
      </c>
    </row>
    <row r="125" spans="1:56" s="69" customFormat="1" ht="75.599999999999994" x14ac:dyDescent="0.2">
      <c r="A125" s="246"/>
      <c r="B125" s="246"/>
      <c r="C125" s="248"/>
      <c r="D125" s="249"/>
      <c r="E125" s="255" t="s">
        <v>769</v>
      </c>
      <c r="F125" s="256">
        <f>+[5]Pond!AF17</f>
        <v>10</v>
      </c>
      <c r="G125" s="255" t="s">
        <v>623</v>
      </c>
      <c r="H125" s="107" t="s">
        <v>770</v>
      </c>
      <c r="I125" s="98" t="s">
        <v>771</v>
      </c>
      <c r="J125" s="99">
        <f>+[5]Pond!AF18</f>
        <v>50</v>
      </c>
      <c r="K125" s="83" t="s">
        <v>772</v>
      </c>
      <c r="L125" s="99">
        <v>100</v>
      </c>
      <c r="M125" s="94" t="s">
        <v>773</v>
      </c>
      <c r="N125" s="94" t="s">
        <v>57</v>
      </c>
      <c r="O125" s="94" t="s">
        <v>58</v>
      </c>
      <c r="P125" s="85">
        <v>25</v>
      </c>
      <c r="Q125" s="85">
        <v>25</v>
      </c>
      <c r="R125" s="85">
        <v>25</v>
      </c>
      <c r="S125" s="85">
        <v>25</v>
      </c>
      <c r="T125" s="85">
        <v>25</v>
      </c>
      <c r="U125" s="86" t="s">
        <v>774</v>
      </c>
      <c r="V125" s="87"/>
      <c r="W125" s="90"/>
      <c r="X125" s="90"/>
      <c r="Y125" s="90"/>
      <c r="Z125" s="90"/>
      <c r="AA125" s="115">
        <f>+'[5]Gastos por fuentes 2024'!D83</f>
        <v>66580000</v>
      </c>
      <c r="AB125" s="115"/>
      <c r="AC125" s="115"/>
      <c r="AD125" s="115">
        <f>SUM(AA125:AC125)</f>
        <v>66580000</v>
      </c>
      <c r="AE125" s="115">
        <f>+EVEN(AA125*3%+AA125)</f>
        <v>68577400</v>
      </c>
      <c r="AF125" s="115"/>
      <c r="AG125" s="115"/>
      <c r="AH125" s="115">
        <f>SUM(AE125:AG125)</f>
        <v>68577400</v>
      </c>
      <c r="AI125" s="115">
        <f>+EVEN(AE125*10%+AE125)</f>
        <v>75435140</v>
      </c>
      <c r="AJ125" s="115"/>
      <c r="AK125" s="115"/>
      <c r="AL125" s="115">
        <f>SUM(AI125:AK125)</f>
        <v>75435140</v>
      </c>
      <c r="AM125" s="115">
        <f>+EVEN(AI125*10%+AI125)</f>
        <v>82978654</v>
      </c>
      <c r="AN125" s="115"/>
      <c r="AO125" s="115"/>
      <c r="AP125" s="116">
        <f>SUM(AM125:AO125)</f>
        <v>82978654</v>
      </c>
      <c r="AQ125" s="115">
        <f t="shared" si="33"/>
        <v>293571194</v>
      </c>
      <c r="AR125" s="115">
        <f t="shared" si="33"/>
        <v>0</v>
      </c>
      <c r="AS125" s="115">
        <f t="shared" si="33"/>
        <v>0</v>
      </c>
      <c r="AT125" s="115">
        <f t="shared" si="33"/>
        <v>293571194</v>
      </c>
      <c r="AU125" s="115" t="s">
        <v>61</v>
      </c>
      <c r="AV125" s="88" t="s">
        <v>739</v>
      </c>
      <c r="AW125" s="83" t="s">
        <v>740</v>
      </c>
      <c r="AX125" s="117" t="s">
        <v>445</v>
      </c>
      <c r="AY125" s="117" t="s">
        <v>65</v>
      </c>
      <c r="AZ125" s="117" t="s">
        <v>297</v>
      </c>
      <c r="BA125" s="117"/>
      <c r="BB125" s="143" t="s">
        <v>130</v>
      </c>
      <c r="BC125" s="150" t="s">
        <v>131</v>
      </c>
      <c r="BD125" s="93" t="s">
        <v>132</v>
      </c>
    </row>
    <row r="126" spans="1:56" s="69" customFormat="1" ht="38.4" x14ac:dyDescent="0.2">
      <c r="A126" s="246"/>
      <c r="B126" s="246"/>
      <c r="C126" s="248"/>
      <c r="D126" s="249"/>
      <c r="E126" s="255"/>
      <c r="F126" s="256"/>
      <c r="G126" s="255"/>
      <c r="H126" s="239" t="s">
        <v>775</v>
      </c>
      <c r="I126" s="257" t="s">
        <v>776</v>
      </c>
      <c r="J126" s="258">
        <f>+[5]Pond!AF19</f>
        <v>50</v>
      </c>
      <c r="K126" s="83" t="s">
        <v>777</v>
      </c>
      <c r="L126" s="99">
        <v>50</v>
      </c>
      <c r="M126" s="83" t="s">
        <v>778</v>
      </c>
      <c r="N126" s="83" t="s">
        <v>57</v>
      </c>
      <c r="O126" s="83" t="s">
        <v>104</v>
      </c>
      <c r="P126" s="97">
        <v>7</v>
      </c>
      <c r="Q126" s="97">
        <v>7</v>
      </c>
      <c r="R126" s="97">
        <v>7</v>
      </c>
      <c r="S126" s="97">
        <v>7</v>
      </c>
      <c r="T126" s="85">
        <f>SUM(P126:S126)</f>
        <v>28</v>
      </c>
      <c r="U126" s="86" t="s">
        <v>779</v>
      </c>
      <c r="V126" s="87"/>
      <c r="W126" s="88" t="s">
        <v>780</v>
      </c>
      <c r="X126" s="89" t="s">
        <v>781</v>
      </c>
      <c r="Y126" s="90"/>
      <c r="Z126" s="90"/>
      <c r="AA126" s="237">
        <f>+'[5]Gastos por fuentes 2024'!F84</f>
        <v>67500000</v>
      </c>
      <c r="AB126" s="237"/>
      <c r="AC126" s="237"/>
      <c r="AD126" s="237">
        <f>SUM(AA126:AC126)</f>
        <v>67500000</v>
      </c>
      <c r="AE126" s="237">
        <f>+EVEN(AA126*3%+AA126)</f>
        <v>69525000</v>
      </c>
      <c r="AF126" s="237"/>
      <c r="AG126" s="237"/>
      <c r="AH126" s="237">
        <f>SUM(AE126:AG126)</f>
        <v>69525000</v>
      </c>
      <c r="AI126" s="237">
        <f>+EVEN(AE126*10%+AE126)</f>
        <v>76477500</v>
      </c>
      <c r="AJ126" s="237"/>
      <c r="AK126" s="237"/>
      <c r="AL126" s="237">
        <f>SUM(AI126:AK126)</f>
        <v>76477500</v>
      </c>
      <c r="AM126" s="237">
        <f>+EVEN(AI126*10%+AI126)</f>
        <v>84125250</v>
      </c>
      <c r="AN126" s="237"/>
      <c r="AO126" s="237"/>
      <c r="AP126" s="238">
        <f>SUM(AM126:AO126)</f>
        <v>84125250</v>
      </c>
      <c r="AQ126" s="237">
        <f t="shared" si="33"/>
        <v>297627750</v>
      </c>
      <c r="AR126" s="237">
        <f t="shared" si="33"/>
        <v>0</v>
      </c>
      <c r="AS126" s="237">
        <f t="shared" si="33"/>
        <v>0</v>
      </c>
      <c r="AT126" s="237">
        <f t="shared" si="33"/>
        <v>297627750</v>
      </c>
      <c r="AU126" s="115" t="s">
        <v>61</v>
      </c>
      <c r="AV126" s="88" t="s">
        <v>645</v>
      </c>
      <c r="AW126" s="83" t="s">
        <v>646</v>
      </c>
      <c r="AX126" s="117" t="s">
        <v>445</v>
      </c>
      <c r="AY126" s="117" t="s">
        <v>65</v>
      </c>
      <c r="AZ126" s="117" t="s">
        <v>297</v>
      </c>
      <c r="BA126" s="234"/>
      <c r="BB126" s="143" t="s">
        <v>130</v>
      </c>
      <c r="BC126" s="150" t="s">
        <v>131</v>
      </c>
      <c r="BD126" s="93" t="s">
        <v>132</v>
      </c>
    </row>
    <row r="127" spans="1:56" s="69" customFormat="1" ht="38.4" x14ac:dyDescent="0.2">
      <c r="A127" s="246"/>
      <c r="B127" s="246"/>
      <c r="C127" s="248"/>
      <c r="D127" s="249"/>
      <c r="E127" s="255"/>
      <c r="F127" s="256"/>
      <c r="G127" s="255"/>
      <c r="H127" s="239"/>
      <c r="I127" s="257"/>
      <c r="J127" s="258"/>
      <c r="K127" s="94" t="s">
        <v>782</v>
      </c>
      <c r="L127" s="85">
        <v>50</v>
      </c>
      <c r="M127" s="94" t="s">
        <v>783</v>
      </c>
      <c r="N127" s="94" t="s">
        <v>57</v>
      </c>
      <c r="O127" s="94" t="s">
        <v>81</v>
      </c>
      <c r="P127" s="85">
        <v>90</v>
      </c>
      <c r="Q127" s="85">
        <v>90</v>
      </c>
      <c r="R127" s="85">
        <v>90</v>
      </c>
      <c r="S127" s="85">
        <v>90</v>
      </c>
      <c r="T127" s="85">
        <v>90</v>
      </c>
      <c r="U127" s="86" t="s">
        <v>784</v>
      </c>
      <c r="V127" s="87"/>
      <c r="W127" s="90"/>
      <c r="X127" s="90"/>
      <c r="Y127" s="90"/>
      <c r="Z127" s="90"/>
      <c r="AA127" s="237"/>
      <c r="AB127" s="237"/>
      <c r="AC127" s="237"/>
      <c r="AD127" s="237"/>
      <c r="AE127" s="237"/>
      <c r="AF127" s="237"/>
      <c r="AG127" s="237"/>
      <c r="AH127" s="237"/>
      <c r="AI127" s="237">
        <f t="shared" ref="AI127" si="35">+EVEN(AE127*6%+AE127)</f>
        <v>0</v>
      </c>
      <c r="AJ127" s="237"/>
      <c r="AK127" s="237"/>
      <c r="AL127" s="237"/>
      <c r="AM127" s="237">
        <f>+EVEN(AI127*6%+AI127)</f>
        <v>0</v>
      </c>
      <c r="AN127" s="237"/>
      <c r="AO127" s="237"/>
      <c r="AP127" s="238"/>
      <c r="AQ127" s="237">
        <f t="shared" si="33"/>
        <v>0</v>
      </c>
      <c r="AR127" s="237">
        <f t="shared" si="33"/>
        <v>0</v>
      </c>
      <c r="AS127" s="237">
        <f t="shared" si="33"/>
        <v>0</v>
      </c>
      <c r="AT127" s="237">
        <f t="shared" si="33"/>
        <v>0</v>
      </c>
      <c r="AU127" s="115" t="s">
        <v>61</v>
      </c>
      <c r="AV127" s="88" t="s">
        <v>785</v>
      </c>
      <c r="AW127" s="94" t="s">
        <v>786</v>
      </c>
      <c r="AX127" s="117" t="s">
        <v>445</v>
      </c>
      <c r="AY127" s="117" t="s">
        <v>65</v>
      </c>
      <c r="AZ127" s="117" t="s">
        <v>297</v>
      </c>
      <c r="BA127" s="234"/>
      <c r="BB127" s="143" t="s">
        <v>130</v>
      </c>
      <c r="BC127" s="150" t="s">
        <v>131</v>
      </c>
      <c r="BD127" s="93" t="s">
        <v>132</v>
      </c>
    </row>
    <row r="128" spans="1:56" s="69" customFormat="1" ht="150" x14ac:dyDescent="0.2">
      <c r="A128" s="246"/>
      <c r="B128" s="246"/>
      <c r="C128" s="248"/>
      <c r="D128" s="249"/>
      <c r="E128" s="255" t="s">
        <v>787</v>
      </c>
      <c r="F128" s="256">
        <f>+[5]Pond!AF20</f>
        <v>11</v>
      </c>
      <c r="G128" s="255" t="s">
        <v>623</v>
      </c>
      <c r="H128" s="110" t="s">
        <v>788</v>
      </c>
      <c r="I128" s="136" t="s">
        <v>789</v>
      </c>
      <c r="J128" s="99">
        <f>+[5]Pond!AF21</f>
        <v>52</v>
      </c>
      <c r="K128" s="83" t="s">
        <v>790</v>
      </c>
      <c r="L128" s="99">
        <v>100</v>
      </c>
      <c r="M128" s="83" t="s">
        <v>791</v>
      </c>
      <c r="N128" s="83" t="s">
        <v>57</v>
      </c>
      <c r="O128" s="83" t="s">
        <v>58</v>
      </c>
      <c r="P128" s="85" t="s">
        <v>792</v>
      </c>
      <c r="Q128" s="85" t="s">
        <v>792</v>
      </c>
      <c r="R128" s="85" t="s">
        <v>792</v>
      </c>
      <c r="S128" s="85" t="s">
        <v>792</v>
      </c>
      <c r="T128" s="85">
        <v>280</v>
      </c>
      <c r="U128" s="86" t="s">
        <v>793</v>
      </c>
      <c r="V128" s="87"/>
      <c r="W128" s="90"/>
      <c r="X128" s="90"/>
      <c r="Y128" s="90"/>
      <c r="Z128" s="90"/>
      <c r="AA128" s="115">
        <f>+'[5]Gastos por fuentes 2024'!D86</f>
        <v>77227200</v>
      </c>
      <c r="AB128" s="115"/>
      <c r="AC128" s="115"/>
      <c r="AD128" s="115">
        <f>SUM(AA128:AC128)</f>
        <v>77227200</v>
      </c>
      <c r="AE128" s="115">
        <f>+EVEN(AA128*3%+AA128)</f>
        <v>79544016</v>
      </c>
      <c r="AF128" s="115"/>
      <c r="AG128" s="115"/>
      <c r="AH128" s="115">
        <f>SUM(AE128:AG128)</f>
        <v>79544016</v>
      </c>
      <c r="AI128" s="115">
        <f>+EVEN(AE128*10%+AE128)</f>
        <v>87498418</v>
      </c>
      <c r="AJ128" s="115"/>
      <c r="AK128" s="115"/>
      <c r="AL128" s="115">
        <f>SUM(AI128:AK128)</f>
        <v>87498418</v>
      </c>
      <c r="AM128" s="115">
        <f>+EVEN(AI128*10%+AI128)</f>
        <v>96248260</v>
      </c>
      <c r="AN128" s="115"/>
      <c r="AO128" s="115"/>
      <c r="AP128" s="116">
        <f>SUM(AM128:AO128)</f>
        <v>96248260</v>
      </c>
      <c r="AQ128" s="115">
        <f t="shared" si="33"/>
        <v>340517894</v>
      </c>
      <c r="AR128" s="115">
        <f t="shared" si="33"/>
        <v>0</v>
      </c>
      <c r="AS128" s="115">
        <f t="shared" si="33"/>
        <v>0</v>
      </c>
      <c r="AT128" s="115">
        <f t="shared" si="33"/>
        <v>340517894</v>
      </c>
      <c r="AU128" s="115" t="s">
        <v>61</v>
      </c>
      <c r="AV128" s="88" t="s">
        <v>631</v>
      </c>
      <c r="AW128" s="88" t="s">
        <v>632</v>
      </c>
      <c r="AX128" s="117" t="s">
        <v>445</v>
      </c>
      <c r="AY128" s="117" t="s">
        <v>65</v>
      </c>
      <c r="AZ128" s="117" t="s">
        <v>297</v>
      </c>
      <c r="BA128" s="117"/>
      <c r="BB128" s="143" t="s">
        <v>130</v>
      </c>
      <c r="BC128" s="150" t="s">
        <v>131</v>
      </c>
      <c r="BD128" s="93" t="s">
        <v>132</v>
      </c>
    </row>
    <row r="129" spans="1:56" s="69" customFormat="1" ht="100.8" x14ac:dyDescent="0.2">
      <c r="A129" s="247"/>
      <c r="B129" s="247"/>
      <c r="C129" s="248"/>
      <c r="D129" s="249"/>
      <c r="E129" s="255"/>
      <c r="F129" s="256"/>
      <c r="G129" s="255"/>
      <c r="H129" s="110" t="s">
        <v>794</v>
      </c>
      <c r="I129" s="136" t="s">
        <v>795</v>
      </c>
      <c r="J129" s="99">
        <f>+[5]Pond!AF22</f>
        <v>48</v>
      </c>
      <c r="K129" s="83" t="s">
        <v>796</v>
      </c>
      <c r="L129" s="99">
        <v>100</v>
      </c>
      <c r="M129" s="83" t="s">
        <v>797</v>
      </c>
      <c r="N129" s="83" t="s">
        <v>57</v>
      </c>
      <c r="O129" s="83" t="s">
        <v>73</v>
      </c>
      <c r="P129" s="85">
        <v>90</v>
      </c>
      <c r="Q129" s="85">
        <v>90</v>
      </c>
      <c r="R129" s="85">
        <v>90</v>
      </c>
      <c r="S129" s="85">
        <v>90</v>
      </c>
      <c r="T129" s="85">
        <v>90</v>
      </c>
      <c r="U129" s="86" t="s">
        <v>798</v>
      </c>
      <c r="V129" s="87"/>
      <c r="W129" s="88" t="s">
        <v>799</v>
      </c>
      <c r="X129" s="89" t="s">
        <v>800</v>
      </c>
      <c r="Y129" s="90"/>
      <c r="Z129" s="90"/>
      <c r="AA129" s="115">
        <f>+'[5]Gastos por fuentes 2024'!D87</f>
        <v>65920000</v>
      </c>
      <c r="AB129" s="115"/>
      <c r="AC129" s="115"/>
      <c r="AD129" s="115">
        <f>SUM(AA129:AC129)</f>
        <v>65920000</v>
      </c>
      <c r="AE129" s="115">
        <f>+EVEN(AA129*3%+AA129)</f>
        <v>67897600</v>
      </c>
      <c r="AF129" s="115"/>
      <c r="AG129" s="115"/>
      <c r="AH129" s="115">
        <f>SUM(AE129:AG129)</f>
        <v>67897600</v>
      </c>
      <c r="AI129" s="115">
        <f>+EVEN(AE129*10%+AE129)</f>
        <v>74687360</v>
      </c>
      <c r="AJ129" s="115"/>
      <c r="AK129" s="115"/>
      <c r="AL129" s="115">
        <f>SUM(AI129:AK129)</f>
        <v>74687360</v>
      </c>
      <c r="AM129" s="115">
        <f>+EVEN(AI129*10%+AI129)</f>
        <v>82156096</v>
      </c>
      <c r="AN129" s="115"/>
      <c r="AO129" s="115"/>
      <c r="AP129" s="116">
        <f>SUM(AM129:AO129)</f>
        <v>82156096</v>
      </c>
      <c r="AQ129" s="115">
        <f t="shared" ref="AQ129:AT132" si="36">+AA129+AE129+AI129+AM129</f>
        <v>290661056</v>
      </c>
      <c r="AR129" s="115">
        <f t="shared" si="36"/>
        <v>0</v>
      </c>
      <c r="AS129" s="115">
        <f t="shared" si="36"/>
        <v>0</v>
      </c>
      <c r="AT129" s="115">
        <f t="shared" si="36"/>
        <v>290661056</v>
      </c>
      <c r="AU129" s="115" t="s">
        <v>61</v>
      </c>
      <c r="AV129" s="88" t="s">
        <v>631</v>
      </c>
      <c r="AW129" s="88" t="s">
        <v>632</v>
      </c>
      <c r="AX129" s="117" t="s">
        <v>445</v>
      </c>
      <c r="AY129" s="117" t="s">
        <v>65</v>
      </c>
      <c r="AZ129" s="117" t="s">
        <v>297</v>
      </c>
      <c r="BA129" s="117"/>
      <c r="BB129" s="143" t="s">
        <v>130</v>
      </c>
      <c r="BC129" s="150" t="s">
        <v>131</v>
      </c>
      <c r="BD129" s="93" t="s">
        <v>132</v>
      </c>
    </row>
    <row r="130" spans="1:56" s="69" customFormat="1" ht="38.4" x14ac:dyDescent="0.2">
      <c r="A130" s="242" t="s">
        <v>801</v>
      </c>
      <c r="B130" s="245">
        <v>13</v>
      </c>
      <c r="C130" s="248" t="s">
        <v>802</v>
      </c>
      <c r="D130" s="277">
        <v>100</v>
      </c>
      <c r="E130" s="255" t="s">
        <v>803</v>
      </c>
      <c r="F130" s="256">
        <f>+[5]Pond!AF82</f>
        <v>100</v>
      </c>
      <c r="G130" s="255" t="s">
        <v>804</v>
      </c>
      <c r="H130" s="255" t="s">
        <v>805</v>
      </c>
      <c r="I130" s="257" t="s">
        <v>806</v>
      </c>
      <c r="J130" s="258">
        <f>+[5]Pond!AF83</f>
        <v>48</v>
      </c>
      <c r="K130" s="83" t="s">
        <v>807</v>
      </c>
      <c r="L130" s="99">
        <v>50</v>
      </c>
      <c r="M130" s="83" t="s">
        <v>808</v>
      </c>
      <c r="N130" s="83" t="s">
        <v>57</v>
      </c>
      <c r="O130" s="83" t="s">
        <v>809</v>
      </c>
      <c r="P130" s="85">
        <v>1</v>
      </c>
      <c r="Q130" s="85">
        <v>1</v>
      </c>
      <c r="R130" s="85">
        <v>1</v>
      </c>
      <c r="S130" s="85">
        <v>1</v>
      </c>
      <c r="T130" s="85">
        <v>1</v>
      </c>
      <c r="U130" s="86" t="s">
        <v>810</v>
      </c>
      <c r="V130" s="87"/>
      <c r="W130" s="88" t="s">
        <v>811</v>
      </c>
      <c r="X130" s="89" t="s">
        <v>812</v>
      </c>
      <c r="Y130" s="90"/>
      <c r="Z130" s="90"/>
      <c r="AA130" s="237">
        <f>+'[5]Gastos por fuentes 2024'!D172</f>
        <v>45641840</v>
      </c>
      <c r="AB130" s="237"/>
      <c r="AC130" s="237"/>
      <c r="AD130" s="237">
        <f>SUM(AA130:AC130)</f>
        <v>45641840</v>
      </c>
      <c r="AE130" s="278">
        <f>+EVEN(AA130*3%+AA130)</f>
        <v>47011096</v>
      </c>
      <c r="AF130" s="237"/>
      <c r="AG130" s="237"/>
      <c r="AH130" s="237">
        <f>SUM(AE130:AG130)</f>
        <v>47011096</v>
      </c>
      <c r="AI130" s="237">
        <f>+EVEN(AE130*10%+AE130)</f>
        <v>51712206</v>
      </c>
      <c r="AJ130" s="237"/>
      <c r="AK130" s="237"/>
      <c r="AL130" s="237">
        <f>SUM(AI130:AK130)</f>
        <v>51712206</v>
      </c>
      <c r="AM130" s="237">
        <f>+EVEN(AI130*10%+AI130)</f>
        <v>56883428</v>
      </c>
      <c r="AN130" s="237"/>
      <c r="AO130" s="237"/>
      <c r="AP130" s="238">
        <f>SUM(AM130:AO130)</f>
        <v>56883428</v>
      </c>
      <c r="AQ130" s="237">
        <f t="shared" si="36"/>
        <v>201248570</v>
      </c>
      <c r="AR130" s="237">
        <f t="shared" si="36"/>
        <v>0</v>
      </c>
      <c r="AS130" s="237">
        <f t="shared" si="36"/>
        <v>0</v>
      </c>
      <c r="AT130" s="237">
        <f t="shared" si="36"/>
        <v>201248570</v>
      </c>
      <c r="AU130" s="115" t="s">
        <v>61</v>
      </c>
      <c r="AV130" s="83" t="s">
        <v>813</v>
      </c>
      <c r="AW130" s="83" t="s">
        <v>814</v>
      </c>
      <c r="AX130" s="117" t="s">
        <v>815</v>
      </c>
      <c r="AY130" s="117" t="s">
        <v>65</v>
      </c>
      <c r="AZ130" s="117" t="s">
        <v>816</v>
      </c>
      <c r="BA130" s="234"/>
      <c r="BB130" s="143" t="s">
        <v>130</v>
      </c>
      <c r="BC130" s="93" t="s">
        <v>817</v>
      </c>
      <c r="BD130" s="93" t="s">
        <v>132</v>
      </c>
    </row>
    <row r="131" spans="1:56" s="69" customFormat="1" ht="38.4" x14ac:dyDescent="0.2">
      <c r="A131" s="243"/>
      <c r="B131" s="246"/>
      <c r="C131" s="248"/>
      <c r="D131" s="277"/>
      <c r="E131" s="255"/>
      <c r="F131" s="256"/>
      <c r="G131" s="255"/>
      <c r="H131" s="255"/>
      <c r="I131" s="257"/>
      <c r="J131" s="258"/>
      <c r="K131" s="83" t="s">
        <v>818</v>
      </c>
      <c r="L131" s="99">
        <v>50</v>
      </c>
      <c r="M131" s="83" t="s">
        <v>819</v>
      </c>
      <c r="N131" s="83" t="s">
        <v>57</v>
      </c>
      <c r="O131" s="83" t="s">
        <v>809</v>
      </c>
      <c r="P131" s="85"/>
      <c r="Q131" s="85"/>
      <c r="R131" s="85"/>
      <c r="S131" s="85">
        <v>1</v>
      </c>
      <c r="T131" s="85">
        <v>1</v>
      </c>
      <c r="U131" s="86" t="s">
        <v>820</v>
      </c>
      <c r="V131" s="87"/>
      <c r="W131" s="88" t="s">
        <v>821</v>
      </c>
      <c r="X131" s="89" t="s">
        <v>822</v>
      </c>
      <c r="Y131" s="90"/>
      <c r="Z131" s="90"/>
      <c r="AA131" s="237"/>
      <c r="AB131" s="237"/>
      <c r="AC131" s="237"/>
      <c r="AD131" s="237"/>
      <c r="AE131" s="278"/>
      <c r="AF131" s="237"/>
      <c r="AG131" s="237"/>
      <c r="AH131" s="237"/>
      <c r="AI131" s="237">
        <f>+EVEN(AE131*6%+AE131)</f>
        <v>0</v>
      </c>
      <c r="AJ131" s="237"/>
      <c r="AK131" s="237"/>
      <c r="AL131" s="237"/>
      <c r="AM131" s="237">
        <f>+EVEN(AI131*6%+AI131)</f>
        <v>0</v>
      </c>
      <c r="AN131" s="237"/>
      <c r="AO131" s="237"/>
      <c r="AP131" s="238"/>
      <c r="AQ131" s="237">
        <f t="shared" si="36"/>
        <v>0</v>
      </c>
      <c r="AR131" s="237">
        <f t="shared" si="36"/>
        <v>0</v>
      </c>
      <c r="AS131" s="237">
        <f t="shared" si="36"/>
        <v>0</v>
      </c>
      <c r="AT131" s="237">
        <f t="shared" si="36"/>
        <v>0</v>
      </c>
      <c r="AU131" s="115" t="s">
        <v>61</v>
      </c>
      <c r="AV131" s="83" t="s">
        <v>823</v>
      </c>
      <c r="AW131" s="83" t="s">
        <v>824</v>
      </c>
      <c r="AX131" s="117" t="s">
        <v>815</v>
      </c>
      <c r="AY131" s="117" t="s">
        <v>65</v>
      </c>
      <c r="AZ131" s="117" t="s">
        <v>816</v>
      </c>
      <c r="BA131" s="234"/>
      <c r="BB131" s="143" t="s">
        <v>130</v>
      </c>
      <c r="BC131" s="93" t="s">
        <v>817</v>
      </c>
      <c r="BD131" s="93" t="s">
        <v>132</v>
      </c>
    </row>
    <row r="132" spans="1:56" s="69" customFormat="1" ht="38.4" x14ac:dyDescent="0.2">
      <c r="A132" s="243"/>
      <c r="B132" s="246"/>
      <c r="C132" s="248"/>
      <c r="D132" s="277"/>
      <c r="E132" s="255"/>
      <c r="F132" s="256"/>
      <c r="G132" s="255"/>
      <c r="H132" s="255" t="s">
        <v>825</v>
      </c>
      <c r="I132" s="257" t="s">
        <v>826</v>
      </c>
      <c r="J132" s="258">
        <f>+[5]Pond!AF84</f>
        <v>52</v>
      </c>
      <c r="K132" s="83" t="s">
        <v>827</v>
      </c>
      <c r="L132" s="99">
        <v>35</v>
      </c>
      <c r="M132" s="94" t="s">
        <v>828</v>
      </c>
      <c r="N132" s="83" t="s">
        <v>57</v>
      </c>
      <c r="O132" s="119" t="s">
        <v>58</v>
      </c>
      <c r="P132" s="97">
        <v>1</v>
      </c>
      <c r="Q132" s="85">
        <v>1</v>
      </c>
      <c r="R132" s="85">
        <v>1</v>
      </c>
      <c r="S132" s="85">
        <v>1</v>
      </c>
      <c r="T132" s="85">
        <f>SUM(P132:S132)</f>
        <v>4</v>
      </c>
      <c r="U132" s="86"/>
      <c r="V132" s="87"/>
      <c r="W132" s="88" t="s">
        <v>829</v>
      </c>
      <c r="X132" s="89" t="s">
        <v>830</v>
      </c>
      <c r="Y132" s="90"/>
      <c r="Z132" s="90"/>
      <c r="AA132" s="237">
        <f>+'[5]Gastos por fuentes 2024'!D173</f>
        <v>59095440</v>
      </c>
      <c r="AB132" s="237"/>
      <c r="AC132" s="237"/>
      <c r="AD132" s="237">
        <f>SUM(AA132:AC132)</f>
        <v>59095440</v>
      </c>
      <c r="AE132" s="278">
        <f>+EVEN(AA132*3%+AA132)</f>
        <v>60868304</v>
      </c>
      <c r="AF132" s="115"/>
      <c r="AG132" s="115"/>
      <c r="AH132" s="237">
        <f>SUM(AE132:AG132)</f>
        <v>60868304</v>
      </c>
      <c r="AI132" s="237">
        <f>+EVEN(AE132*10%+AE132)</f>
        <v>66955136</v>
      </c>
      <c r="AJ132" s="237"/>
      <c r="AK132" s="237"/>
      <c r="AL132" s="237">
        <f>SUM(AI132:AK132)</f>
        <v>66955136</v>
      </c>
      <c r="AM132" s="237">
        <f>+EVEN(AI132*10%+AI132)</f>
        <v>73650650</v>
      </c>
      <c r="AN132" s="237"/>
      <c r="AO132" s="237"/>
      <c r="AP132" s="238">
        <f>SUM(AM132:AO132)</f>
        <v>73650650</v>
      </c>
      <c r="AQ132" s="237">
        <f t="shared" si="36"/>
        <v>260569530</v>
      </c>
      <c r="AR132" s="237">
        <f t="shared" si="36"/>
        <v>0</v>
      </c>
      <c r="AS132" s="237">
        <f t="shared" si="36"/>
        <v>0</v>
      </c>
      <c r="AT132" s="237">
        <f t="shared" si="36"/>
        <v>260569530</v>
      </c>
      <c r="AU132" s="115" t="s">
        <v>61</v>
      </c>
      <c r="AV132" s="160" t="s">
        <v>831</v>
      </c>
      <c r="AW132" s="126" t="s">
        <v>832</v>
      </c>
      <c r="AX132" s="117" t="s">
        <v>815</v>
      </c>
      <c r="AY132" s="117" t="s">
        <v>65</v>
      </c>
      <c r="AZ132" s="117" t="s">
        <v>816</v>
      </c>
      <c r="BA132" s="234"/>
      <c r="BB132" s="143" t="s">
        <v>130</v>
      </c>
      <c r="BC132" s="93" t="s">
        <v>817</v>
      </c>
      <c r="BD132" s="93" t="s">
        <v>132</v>
      </c>
    </row>
    <row r="133" spans="1:56" s="69" customFormat="1" ht="38.4" x14ac:dyDescent="0.2">
      <c r="A133" s="243"/>
      <c r="B133" s="246"/>
      <c r="C133" s="248"/>
      <c r="D133" s="277"/>
      <c r="E133" s="255"/>
      <c r="F133" s="256"/>
      <c r="G133" s="255"/>
      <c r="H133" s="255"/>
      <c r="I133" s="257"/>
      <c r="J133" s="258"/>
      <c r="K133" s="94" t="s">
        <v>833</v>
      </c>
      <c r="L133" s="85">
        <v>35</v>
      </c>
      <c r="M133" s="94" t="s">
        <v>834</v>
      </c>
      <c r="N133" s="94" t="s">
        <v>57</v>
      </c>
      <c r="O133" s="119" t="s">
        <v>835</v>
      </c>
      <c r="P133" s="97" t="s">
        <v>836</v>
      </c>
      <c r="Q133" s="85" t="s">
        <v>836</v>
      </c>
      <c r="R133" s="85" t="s">
        <v>836</v>
      </c>
      <c r="S133" s="85" t="s">
        <v>836</v>
      </c>
      <c r="T133" s="85" t="s">
        <v>837</v>
      </c>
      <c r="U133" s="86"/>
      <c r="V133" s="87"/>
      <c r="W133" s="88"/>
      <c r="X133" s="89"/>
      <c r="Y133" s="90"/>
      <c r="Z133" s="90"/>
      <c r="AA133" s="237"/>
      <c r="AB133" s="237"/>
      <c r="AC133" s="237"/>
      <c r="AD133" s="237"/>
      <c r="AE133" s="278"/>
      <c r="AF133" s="115"/>
      <c r="AG133" s="115"/>
      <c r="AH133" s="237"/>
      <c r="AI133" s="237"/>
      <c r="AJ133" s="237"/>
      <c r="AK133" s="237"/>
      <c r="AL133" s="237"/>
      <c r="AM133" s="237"/>
      <c r="AN133" s="237"/>
      <c r="AO133" s="237"/>
      <c r="AP133" s="238"/>
      <c r="AQ133" s="237"/>
      <c r="AR133" s="237"/>
      <c r="AS133" s="237"/>
      <c r="AT133" s="237"/>
      <c r="AU133" s="115" t="s">
        <v>61</v>
      </c>
      <c r="AV133" s="83" t="s">
        <v>838</v>
      </c>
      <c r="AW133" s="83" t="s">
        <v>839</v>
      </c>
      <c r="AX133" s="117" t="s">
        <v>815</v>
      </c>
      <c r="AY133" s="117" t="s">
        <v>65</v>
      </c>
      <c r="AZ133" s="117" t="s">
        <v>816</v>
      </c>
      <c r="BA133" s="234"/>
      <c r="BB133" s="143" t="s">
        <v>130</v>
      </c>
      <c r="BC133" s="93" t="s">
        <v>817</v>
      </c>
      <c r="BD133" s="93" t="s">
        <v>132</v>
      </c>
    </row>
    <row r="134" spans="1:56" s="69" customFormat="1" ht="38.4" x14ac:dyDescent="0.2">
      <c r="A134" s="244"/>
      <c r="B134" s="247"/>
      <c r="C134" s="248"/>
      <c r="D134" s="277"/>
      <c r="E134" s="255"/>
      <c r="F134" s="256"/>
      <c r="G134" s="255"/>
      <c r="H134" s="255"/>
      <c r="I134" s="257"/>
      <c r="J134" s="258"/>
      <c r="K134" s="83" t="s">
        <v>840</v>
      </c>
      <c r="L134" s="99">
        <v>30</v>
      </c>
      <c r="M134" s="83" t="s">
        <v>841</v>
      </c>
      <c r="N134" s="83" t="s">
        <v>57</v>
      </c>
      <c r="O134" s="119" t="s">
        <v>58</v>
      </c>
      <c r="P134" s="97">
        <v>1</v>
      </c>
      <c r="Q134" s="97">
        <v>1</v>
      </c>
      <c r="R134" s="97">
        <v>1</v>
      </c>
      <c r="S134" s="97">
        <v>1</v>
      </c>
      <c r="T134" s="97">
        <v>1</v>
      </c>
      <c r="U134" s="86" t="s">
        <v>842</v>
      </c>
      <c r="V134" s="87"/>
      <c r="W134" s="90"/>
      <c r="X134" s="90"/>
      <c r="Y134" s="90"/>
      <c r="Z134" s="90"/>
      <c r="AA134" s="237"/>
      <c r="AB134" s="237"/>
      <c r="AC134" s="237"/>
      <c r="AD134" s="237"/>
      <c r="AE134" s="278"/>
      <c r="AF134" s="115"/>
      <c r="AG134" s="115"/>
      <c r="AH134" s="237"/>
      <c r="AI134" s="237"/>
      <c r="AJ134" s="237"/>
      <c r="AK134" s="237"/>
      <c r="AL134" s="237"/>
      <c r="AM134" s="237"/>
      <c r="AN134" s="237"/>
      <c r="AO134" s="237"/>
      <c r="AP134" s="238"/>
      <c r="AQ134" s="237">
        <f t="shared" ref="AQ134:AT135" si="37">+AA134+AE134+AI134+AM134</f>
        <v>0</v>
      </c>
      <c r="AR134" s="237">
        <f t="shared" si="37"/>
        <v>0</v>
      </c>
      <c r="AS134" s="237">
        <f t="shared" si="37"/>
        <v>0</v>
      </c>
      <c r="AT134" s="237">
        <f t="shared" si="37"/>
        <v>0</v>
      </c>
      <c r="AU134" s="115" t="s">
        <v>61</v>
      </c>
      <c r="AV134" s="83" t="s">
        <v>838</v>
      </c>
      <c r="AW134" s="83" t="s">
        <v>839</v>
      </c>
      <c r="AX134" s="117" t="s">
        <v>815</v>
      </c>
      <c r="AY134" s="117" t="s">
        <v>65</v>
      </c>
      <c r="AZ134" s="117" t="s">
        <v>816</v>
      </c>
      <c r="BA134" s="234"/>
      <c r="BB134" s="143" t="s">
        <v>130</v>
      </c>
      <c r="BC134" s="93" t="s">
        <v>817</v>
      </c>
      <c r="BD134" s="93" t="s">
        <v>132</v>
      </c>
    </row>
    <row r="135" spans="1:56" s="69" customFormat="1" ht="28.8" x14ac:dyDescent="0.2">
      <c r="A135" s="245" t="s">
        <v>843</v>
      </c>
      <c r="B135" s="245">
        <v>11</v>
      </c>
      <c r="C135" s="248" t="s">
        <v>844</v>
      </c>
      <c r="D135" s="249">
        <v>100</v>
      </c>
      <c r="E135" s="255" t="s">
        <v>845</v>
      </c>
      <c r="F135" s="256">
        <f>+[5]Pond!AF100</f>
        <v>17</v>
      </c>
      <c r="G135" s="255" t="s">
        <v>846</v>
      </c>
      <c r="H135" s="255" t="s">
        <v>847</v>
      </c>
      <c r="I135" s="257" t="s">
        <v>848</v>
      </c>
      <c r="J135" s="258">
        <f>+[5]Pond!AF101</f>
        <v>18</v>
      </c>
      <c r="K135" s="83" t="s">
        <v>849</v>
      </c>
      <c r="L135" s="99">
        <v>60</v>
      </c>
      <c r="M135" s="83" t="s">
        <v>850</v>
      </c>
      <c r="N135" s="83" t="s">
        <v>57</v>
      </c>
      <c r="O135" s="83" t="s">
        <v>58</v>
      </c>
      <c r="P135" s="85">
        <v>1</v>
      </c>
      <c r="Q135" s="85"/>
      <c r="R135" s="85"/>
      <c r="S135" s="85"/>
      <c r="T135" s="85">
        <f>SUM(P135:S135)</f>
        <v>1</v>
      </c>
      <c r="U135" s="86"/>
      <c r="V135" s="87"/>
      <c r="W135" s="90"/>
      <c r="X135" s="90"/>
      <c r="Y135" s="90"/>
      <c r="Z135" s="90"/>
      <c r="AA135" s="241">
        <f>+'[5]Gastos por fuentes 2024'!D193</f>
        <v>190000000</v>
      </c>
      <c r="AB135" s="241"/>
      <c r="AC135" s="241"/>
      <c r="AD135" s="241">
        <f>SUM(AA135:AC135)</f>
        <v>190000000</v>
      </c>
      <c r="AE135" s="241"/>
      <c r="AF135" s="241"/>
      <c r="AG135" s="241"/>
      <c r="AH135" s="241"/>
      <c r="AI135" s="276"/>
      <c r="AJ135" s="241"/>
      <c r="AK135" s="241"/>
      <c r="AL135" s="241"/>
      <c r="AM135" s="276"/>
      <c r="AN135" s="241"/>
      <c r="AO135" s="241"/>
      <c r="AP135" s="275"/>
      <c r="AQ135" s="240">
        <f t="shared" si="37"/>
        <v>190000000</v>
      </c>
      <c r="AR135" s="241">
        <f t="shared" si="37"/>
        <v>0</v>
      </c>
      <c r="AS135" s="241">
        <f t="shared" si="37"/>
        <v>0</v>
      </c>
      <c r="AT135" s="241">
        <f t="shared" si="37"/>
        <v>190000000</v>
      </c>
      <c r="AU135" s="161" t="s">
        <v>61</v>
      </c>
      <c r="AV135" s="83" t="s">
        <v>851</v>
      </c>
      <c r="AW135" s="83" t="s">
        <v>852</v>
      </c>
      <c r="AX135" s="162" t="s">
        <v>209</v>
      </c>
      <c r="AY135" s="117" t="s">
        <v>65</v>
      </c>
      <c r="AZ135" s="117" t="s">
        <v>297</v>
      </c>
      <c r="BA135" s="241"/>
      <c r="BB135" s="93" t="s">
        <v>68</v>
      </c>
      <c r="BC135" s="93" t="s">
        <v>152</v>
      </c>
      <c r="BD135" s="93" t="s">
        <v>70</v>
      </c>
    </row>
    <row r="136" spans="1:56" s="69" customFormat="1" ht="28.8" x14ac:dyDescent="0.2">
      <c r="A136" s="246"/>
      <c r="B136" s="246"/>
      <c r="C136" s="248"/>
      <c r="D136" s="249"/>
      <c r="E136" s="255"/>
      <c r="F136" s="256"/>
      <c r="G136" s="255"/>
      <c r="H136" s="255"/>
      <c r="I136" s="257"/>
      <c r="J136" s="258"/>
      <c r="K136" s="83" t="s">
        <v>853</v>
      </c>
      <c r="L136" s="99">
        <v>30</v>
      </c>
      <c r="M136" s="83" t="s">
        <v>854</v>
      </c>
      <c r="N136" s="83" t="s">
        <v>57</v>
      </c>
      <c r="O136" s="83" t="s">
        <v>58</v>
      </c>
      <c r="P136" s="85">
        <v>1</v>
      </c>
      <c r="Q136" s="85"/>
      <c r="R136" s="85"/>
      <c r="S136" s="85"/>
      <c r="T136" s="85">
        <f t="shared" ref="T136:T138" si="38">SUM(P136:S136)</f>
        <v>1</v>
      </c>
      <c r="U136" s="86"/>
      <c r="V136" s="87"/>
      <c r="W136" s="90"/>
      <c r="X136" s="90"/>
      <c r="Y136" s="90"/>
      <c r="Z136" s="90"/>
      <c r="AA136" s="241"/>
      <c r="AB136" s="241"/>
      <c r="AC136" s="241"/>
      <c r="AD136" s="241"/>
      <c r="AE136" s="241"/>
      <c r="AF136" s="241"/>
      <c r="AG136" s="241"/>
      <c r="AH136" s="241"/>
      <c r="AI136" s="276"/>
      <c r="AJ136" s="241"/>
      <c r="AK136" s="241"/>
      <c r="AL136" s="241"/>
      <c r="AM136" s="276"/>
      <c r="AN136" s="241"/>
      <c r="AO136" s="241"/>
      <c r="AP136" s="275"/>
      <c r="AQ136" s="240"/>
      <c r="AR136" s="241"/>
      <c r="AS136" s="241"/>
      <c r="AT136" s="241"/>
      <c r="AU136" s="161" t="s">
        <v>61</v>
      </c>
      <c r="AV136" s="83" t="s">
        <v>851</v>
      </c>
      <c r="AW136" s="83" t="s">
        <v>852</v>
      </c>
      <c r="AX136" s="162" t="s">
        <v>209</v>
      </c>
      <c r="AY136" s="117" t="s">
        <v>65</v>
      </c>
      <c r="AZ136" s="117" t="s">
        <v>297</v>
      </c>
      <c r="BA136" s="241"/>
      <c r="BB136" s="93" t="s">
        <v>68</v>
      </c>
      <c r="BC136" s="93" t="s">
        <v>152</v>
      </c>
      <c r="BD136" s="93" t="s">
        <v>70</v>
      </c>
    </row>
    <row r="137" spans="1:56" s="69" customFormat="1" ht="28.8" x14ac:dyDescent="0.2">
      <c r="A137" s="246"/>
      <c r="B137" s="246"/>
      <c r="C137" s="248"/>
      <c r="D137" s="249"/>
      <c r="E137" s="255"/>
      <c r="F137" s="256"/>
      <c r="G137" s="255"/>
      <c r="H137" s="255"/>
      <c r="I137" s="257"/>
      <c r="J137" s="258"/>
      <c r="K137" s="83" t="s">
        <v>855</v>
      </c>
      <c r="L137" s="99">
        <v>10</v>
      </c>
      <c r="M137" s="83" t="s">
        <v>856</v>
      </c>
      <c r="N137" s="83" t="s">
        <v>57</v>
      </c>
      <c r="O137" s="83" t="s">
        <v>104</v>
      </c>
      <c r="P137" s="85">
        <v>1</v>
      </c>
      <c r="Q137" s="85"/>
      <c r="R137" s="85"/>
      <c r="S137" s="85"/>
      <c r="T137" s="85">
        <f t="shared" si="38"/>
        <v>1</v>
      </c>
      <c r="U137" s="86"/>
      <c r="V137" s="87"/>
      <c r="W137" s="90"/>
      <c r="X137" s="90"/>
      <c r="Y137" s="90"/>
      <c r="Z137" s="90"/>
      <c r="AA137" s="241"/>
      <c r="AB137" s="241"/>
      <c r="AC137" s="241"/>
      <c r="AD137" s="241"/>
      <c r="AE137" s="241"/>
      <c r="AF137" s="241"/>
      <c r="AG137" s="241"/>
      <c r="AH137" s="241"/>
      <c r="AI137" s="276"/>
      <c r="AJ137" s="241"/>
      <c r="AK137" s="241"/>
      <c r="AL137" s="241"/>
      <c r="AM137" s="276"/>
      <c r="AN137" s="241"/>
      <c r="AO137" s="241"/>
      <c r="AP137" s="275"/>
      <c r="AQ137" s="240"/>
      <c r="AR137" s="241"/>
      <c r="AS137" s="241"/>
      <c r="AT137" s="241"/>
      <c r="AU137" s="161" t="s">
        <v>61</v>
      </c>
      <c r="AV137" s="83" t="s">
        <v>851</v>
      </c>
      <c r="AW137" s="83" t="s">
        <v>852</v>
      </c>
      <c r="AX137" s="162" t="s">
        <v>209</v>
      </c>
      <c r="AY137" s="117" t="s">
        <v>65</v>
      </c>
      <c r="AZ137" s="117" t="s">
        <v>297</v>
      </c>
      <c r="BA137" s="241"/>
      <c r="BB137" s="93" t="s">
        <v>68</v>
      </c>
      <c r="BC137" s="93" t="s">
        <v>152</v>
      </c>
      <c r="BD137" s="93" t="s">
        <v>70</v>
      </c>
    </row>
    <row r="138" spans="1:56" s="69" customFormat="1" ht="67.2" x14ac:dyDescent="0.2">
      <c r="A138" s="246"/>
      <c r="B138" s="246"/>
      <c r="C138" s="248"/>
      <c r="D138" s="249"/>
      <c r="E138" s="255"/>
      <c r="F138" s="256"/>
      <c r="G138" s="255"/>
      <c r="H138" s="255" t="s">
        <v>857</v>
      </c>
      <c r="I138" s="257" t="s">
        <v>858</v>
      </c>
      <c r="J138" s="258">
        <f>+[5]Pond!AF102</f>
        <v>82</v>
      </c>
      <c r="K138" s="83" t="s">
        <v>859</v>
      </c>
      <c r="L138" s="99">
        <v>50</v>
      </c>
      <c r="M138" s="83" t="s">
        <v>860</v>
      </c>
      <c r="N138" s="83" t="s">
        <v>57</v>
      </c>
      <c r="O138" s="83" t="s">
        <v>58</v>
      </c>
      <c r="P138" s="85">
        <v>5</v>
      </c>
      <c r="Q138" s="85">
        <v>5</v>
      </c>
      <c r="R138" s="85">
        <v>5</v>
      </c>
      <c r="S138" s="85">
        <v>5</v>
      </c>
      <c r="T138" s="85">
        <f t="shared" si="38"/>
        <v>20</v>
      </c>
      <c r="U138" s="86" t="s">
        <v>861</v>
      </c>
      <c r="V138" s="87"/>
      <c r="W138" s="90"/>
      <c r="X138" s="90"/>
      <c r="Y138" s="90"/>
      <c r="Z138" s="90"/>
      <c r="AA138" s="241">
        <f>+'[5]Gastos por fuentes 2024'!D195+'[5]Gastos por fuentes 2024'!D196+'[5]Gastos por fuentes 2024'!D194</f>
        <v>221482400</v>
      </c>
      <c r="AB138" s="241"/>
      <c r="AC138" s="241"/>
      <c r="AD138" s="241">
        <f>SUM(AA138:AC138)</f>
        <v>221482400</v>
      </c>
      <c r="AE138" s="241">
        <f>+EVEN(AA138*3%+AA138)+42430480</f>
        <v>270557352</v>
      </c>
      <c r="AF138" s="241"/>
      <c r="AG138" s="241"/>
      <c r="AH138" s="241">
        <f>SUM(AE138:AG138)</f>
        <v>270557352</v>
      </c>
      <c r="AI138" s="276">
        <f>+EVEN(AE138*10%+AE138)</f>
        <v>297613088</v>
      </c>
      <c r="AJ138" s="241"/>
      <c r="AK138" s="241"/>
      <c r="AL138" s="241">
        <f>SUM(AI138:AK138)</f>
        <v>297613088</v>
      </c>
      <c r="AM138" s="276">
        <f>+EVEN(AI138*10%+AI138)</f>
        <v>327374398</v>
      </c>
      <c r="AN138" s="241"/>
      <c r="AO138" s="241"/>
      <c r="AP138" s="275">
        <f>SUM(AM138:AO138)</f>
        <v>327374398</v>
      </c>
      <c r="AQ138" s="241">
        <f>+AA138+AE138+AI138+AM138</f>
        <v>1117027238</v>
      </c>
      <c r="AR138" s="241">
        <f>+AB138+AF138+AJ138+AN138</f>
        <v>0</v>
      </c>
      <c r="AS138" s="241">
        <f>+AC138+AG138+AK138+AO138</f>
        <v>0</v>
      </c>
      <c r="AT138" s="241">
        <f>+AD138+AH138+AL138+AP138</f>
        <v>1117027238</v>
      </c>
      <c r="AU138" s="161" t="s">
        <v>61</v>
      </c>
      <c r="AV138" s="83" t="s">
        <v>862</v>
      </c>
      <c r="AW138" s="83" t="s">
        <v>863</v>
      </c>
      <c r="AX138" s="162" t="s">
        <v>64</v>
      </c>
      <c r="AY138" s="117" t="s">
        <v>65</v>
      </c>
      <c r="AZ138" s="117" t="s">
        <v>297</v>
      </c>
      <c r="BA138" s="241" t="s">
        <v>371</v>
      </c>
      <c r="BB138" s="143" t="s">
        <v>130</v>
      </c>
      <c r="BC138" s="150" t="s">
        <v>131</v>
      </c>
      <c r="BD138" s="93" t="s">
        <v>132</v>
      </c>
    </row>
    <row r="139" spans="1:56" s="69" customFormat="1" ht="38.4" x14ac:dyDescent="0.2">
      <c r="A139" s="246"/>
      <c r="B139" s="246"/>
      <c r="C139" s="248"/>
      <c r="D139" s="249"/>
      <c r="E139" s="255"/>
      <c r="F139" s="256"/>
      <c r="G139" s="255"/>
      <c r="H139" s="255"/>
      <c r="I139" s="257"/>
      <c r="J139" s="258"/>
      <c r="K139" s="83" t="s">
        <v>864</v>
      </c>
      <c r="L139" s="99">
        <v>10</v>
      </c>
      <c r="M139" s="83" t="s">
        <v>865</v>
      </c>
      <c r="N139" s="83" t="s">
        <v>57</v>
      </c>
      <c r="O139" s="83" t="s">
        <v>58</v>
      </c>
      <c r="P139" s="85" t="s">
        <v>866</v>
      </c>
      <c r="Q139" s="85">
        <v>5</v>
      </c>
      <c r="R139" s="85">
        <v>5</v>
      </c>
      <c r="S139" s="85">
        <v>5</v>
      </c>
      <c r="T139" s="85">
        <v>25</v>
      </c>
      <c r="U139" s="86"/>
      <c r="V139" s="87"/>
      <c r="W139" s="90"/>
      <c r="X139" s="90"/>
      <c r="Y139" s="90"/>
      <c r="Z139" s="90"/>
      <c r="AA139" s="241"/>
      <c r="AB139" s="241"/>
      <c r="AC139" s="241"/>
      <c r="AD139" s="241"/>
      <c r="AE139" s="241"/>
      <c r="AF139" s="241"/>
      <c r="AG139" s="241"/>
      <c r="AH139" s="241"/>
      <c r="AI139" s="276"/>
      <c r="AJ139" s="241"/>
      <c r="AK139" s="241"/>
      <c r="AL139" s="241"/>
      <c r="AM139" s="276"/>
      <c r="AN139" s="241"/>
      <c r="AO139" s="241"/>
      <c r="AP139" s="275"/>
      <c r="AQ139" s="241"/>
      <c r="AR139" s="241"/>
      <c r="AS139" s="241"/>
      <c r="AT139" s="241"/>
      <c r="AU139" s="161" t="s">
        <v>61</v>
      </c>
      <c r="AV139" s="83" t="s">
        <v>862</v>
      </c>
      <c r="AW139" s="83" t="s">
        <v>863</v>
      </c>
      <c r="AX139" s="162" t="s">
        <v>64</v>
      </c>
      <c r="AY139" s="117" t="s">
        <v>65</v>
      </c>
      <c r="AZ139" s="117" t="s">
        <v>297</v>
      </c>
      <c r="BA139" s="241"/>
      <c r="BB139" s="143" t="s">
        <v>130</v>
      </c>
      <c r="BC139" s="150" t="s">
        <v>131</v>
      </c>
      <c r="BD139" s="93" t="s">
        <v>132</v>
      </c>
    </row>
    <row r="140" spans="1:56" s="69" customFormat="1" ht="38.4" x14ac:dyDescent="0.2">
      <c r="A140" s="246"/>
      <c r="B140" s="246"/>
      <c r="C140" s="248"/>
      <c r="D140" s="249"/>
      <c r="E140" s="255"/>
      <c r="F140" s="256"/>
      <c r="G140" s="255"/>
      <c r="H140" s="255"/>
      <c r="I140" s="257"/>
      <c r="J140" s="258"/>
      <c r="K140" s="83" t="s">
        <v>867</v>
      </c>
      <c r="L140" s="99">
        <v>10</v>
      </c>
      <c r="M140" s="83" t="s">
        <v>868</v>
      </c>
      <c r="N140" s="83" t="s">
        <v>57</v>
      </c>
      <c r="O140" s="83" t="s">
        <v>81</v>
      </c>
      <c r="P140" s="85">
        <v>50</v>
      </c>
      <c r="Q140" s="85">
        <v>50</v>
      </c>
      <c r="R140" s="85"/>
      <c r="S140" s="85"/>
      <c r="T140" s="85">
        <f>SUM(P140:S140)</f>
        <v>100</v>
      </c>
      <c r="U140" s="86"/>
      <c r="V140" s="87"/>
      <c r="W140" s="90"/>
      <c r="X140" s="90"/>
      <c r="Y140" s="90"/>
      <c r="Z140" s="90"/>
      <c r="AA140" s="241"/>
      <c r="AB140" s="241"/>
      <c r="AC140" s="241"/>
      <c r="AD140" s="241"/>
      <c r="AE140" s="241"/>
      <c r="AF140" s="241"/>
      <c r="AG140" s="241"/>
      <c r="AH140" s="241"/>
      <c r="AI140" s="276"/>
      <c r="AJ140" s="241"/>
      <c r="AK140" s="241"/>
      <c r="AL140" s="241"/>
      <c r="AM140" s="276"/>
      <c r="AN140" s="241"/>
      <c r="AO140" s="241"/>
      <c r="AP140" s="275"/>
      <c r="AQ140" s="241"/>
      <c r="AR140" s="241"/>
      <c r="AS140" s="241"/>
      <c r="AT140" s="241"/>
      <c r="AU140" s="161" t="s">
        <v>61</v>
      </c>
      <c r="AV140" s="83" t="s">
        <v>869</v>
      </c>
      <c r="AW140" s="83" t="s">
        <v>870</v>
      </c>
      <c r="AX140" s="162" t="s">
        <v>209</v>
      </c>
      <c r="AY140" s="117" t="s">
        <v>65</v>
      </c>
      <c r="AZ140" s="117" t="s">
        <v>297</v>
      </c>
      <c r="BA140" s="241"/>
      <c r="BB140" s="143" t="s">
        <v>130</v>
      </c>
      <c r="BC140" s="150" t="s">
        <v>131</v>
      </c>
      <c r="BD140" s="93" t="s">
        <v>132</v>
      </c>
    </row>
    <row r="141" spans="1:56" s="69" customFormat="1" ht="38.4" x14ac:dyDescent="0.2">
      <c r="A141" s="246"/>
      <c r="B141" s="246"/>
      <c r="C141" s="248"/>
      <c r="D141" s="249"/>
      <c r="E141" s="255"/>
      <c r="F141" s="256"/>
      <c r="G141" s="255"/>
      <c r="H141" s="255"/>
      <c r="I141" s="257"/>
      <c r="J141" s="258"/>
      <c r="K141" s="83" t="s">
        <v>871</v>
      </c>
      <c r="L141" s="99">
        <v>10</v>
      </c>
      <c r="M141" s="83" t="s">
        <v>872</v>
      </c>
      <c r="N141" s="83" t="s">
        <v>57</v>
      </c>
      <c r="O141" s="83" t="s">
        <v>104</v>
      </c>
      <c r="P141" s="85">
        <v>1</v>
      </c>
      <c r="Q141" s="85">
        <v>1</v>
      </c>
      <c r="R141" s="85">
        <v>1</v>
      </c>
      <c r="S141" s="85">
        <v>1</v>
      </c>
      <c r="T141" s="85">
        <f>SUM(P141:S141)</f>
        <v>4</v>
      </c>
      <c r="U141" s="86" t="s">
        <v>873</v>
      </c>
      <c r="V141" s="87"/>
      <c r="W141" s="90"/>
      <c r="X141" s="90"/>
      <c r="Y141" s="90"/>
      <c r="Z141" s="90"/>
      <c r="AA141" s="241"/>
      <c r="AB141" s="241"/>
      <c r="AC141" s="241"/>
      <c r="AD141" s="241"/>
      <c r="AE141" s="241"/>
      <c r="AF141" s="241"/>
      <c r="AG141" s="241"/>
      <c r="AH141" s="241"/>
      <c r="AI141" s="276"/>
      <c r="AJ141" s="241"/>
      <c r="AK141" s="241"/>
      <c r="AL141" s="241"/>
      <c r="AM141" s="276"/>
      <c r="AN141" s="241"/>
      <c r="AO141" s="241"/>
      <c r="AP141" s="275"/>
      <c r="AQ141" s="241"/>
      <c r="AR141" s="241"/>
      <c r="AS141" s="241"/>
      <c r="AT141" s="241"/>
      <c r="AU141" s="161" t="s">
        <v>61</v>
      </c>
      <c r="AV141" s="83" t="s">
        <v>85</v>
      </c>
      <c r="AW141" s="83" t="s">
        <v>85</v>
      </c>
      <c r="AX141" s="162" t="s">
        <v>209</v>
      </c>
      <c r="AY141" s="117" t="s">
        <v>65</v>
      </c>
      <c r="AZ141" s="117" t="s">
        <v>297</v>
      </c>
      <c r="BA141" s="241"/>
      <c r="BB141" s="143" t="s">
        <v>130</v>
      </c>
      <c r="BC141" s="150" t="s">
        <v>131</v>
      </c>
      <c r="BD141" s="93" t="s">
        <v>132</v>
      </c>
    </row>
    <row r="142" spans="1:56" s="69" customFormat="1" ht="28.8" x14ac:dyDescent="0.2">
      <c r="A142" s="246"/>
      <c r="B142" s="246"/>
      <c r="C142" s="248"/>
      <c r="D142" s="249"/>
      <c r="E142" s="255"/>
      <c r="F142" s="256"/>
      <c r="G142" s="255"/>
      <c r="H142" s="255"/>
      <c r="I142" s="257"/>
      <c r="J142" s="258"/>
      <c r="K142" s="83" t="s">
        <v>874</v>
      </c>
      <c r="L142" s="99">
        <v>10</v>
      </c>
      <c r="M142" s="83" t="s">
        <v>875</v>
      </c>
      <c r="N142" s="83" t="s">
        <v>57</v>
      </c>
      <c r="O142" s="94" t="s">
        <v>58</v>
      </c>
      <c r="P142" s="85">
        <v>1</v>
      </c>
      <c r="Q142" s="85">
        <v>1</v>
      </c>
      <c r="R142" s="85">
        <v>1</v>
      </c>
      <c r="S142" s="85">
        <v>1</v>
      </c>
      <c r="T142" s="85">
        <v>4</v>
      </c>
      <c r="U142" s="86" t="s">
        <v>876</v>
      </c>
      <c r="V142" s="87"/>
      <c r="W142" s="90"/>
      <c r="X142" s="90"/>
      <c r="Y142" s="90"/>
      <c r="Z142" s="90"/>
      <c r="AA142" s="241"/>
      <c r="AB142" s="241"/>
      <c r="AC142" s="241"/>
      <c r="AD142" s="241"/>
      <c r="AE142" s="241"/>
      <c r="AF142" s="241"/>
      <c r="AG142" s="241"/>
      <c r="AH142" s="241"/>
      <c r="AI142" s="276"/>
      <c r="AJ142" s="241"/>
      <c r="AK142" s="241"/>
      <c r="AL142" s="241"/>
      <c r="AM142" s="276"/>
      <c r="AN142" s="241"/>
      <c r="AO142" s="241"/>
      <c r="AP142" s="275"/>
      <c r="AQ142" s="241"/>
      <c r="AR142" s="241"/>
      <c r="AS142" s="241"/>
      <c r="AT142" s="241"/>
      <c r="AU142" s="161" t="s">
        <v>61</v>
      </c>
      <c r="AV142" s="83" t="s">
        <v>851</v>
      </c>
      <c r="AW142" s="83" t="s">
        <v>877</v>
      </c>
      <c r="AX142" s="162" t="s">
        <v>209</v>
      </c>
      <c r="AY142" s="117" t="s">
        <v>65</v>
      </c>
      <c r="AZ142" s="117" t="s">
        <v>297</v>
      </c>
      <c r="BA142" s="241"/>
      <c r="BB142" s="93" t="s">
        <v>68</v>
      </c>
      <c r="BC142" s="93" t="s">
        <v>152</v>
      </c>
      <c r="BD142" s="93" t="s">
        <v>70</v>
      </c>
    </row>
    <row r="143" spans="1:56" s="69" customFormat="1" ht="28.8" x14ac:dyDescent="0.2">
      <c r="A143" s="246"/>
      <c r="B143" s="246"/>
      <c r="C143" s="248"/>
      <c r="D143" s="249"/>
      <c r="E143" s="255"/>
      <c r="F143" s="256"/>
      <c r="G143" s="255"/>
      <c r="H143" s="255"/>
      <c r="I143" s="257"/>
      <c r="J143" s="258"/>
      <c r="K143" s="83" t="s">
        <v>878</v>
      </c>
      <c r="L143" s="99">
        <v>10</v>
      </c>
      <c r="M143" s="83" t="s">
        <v>879</v>
      </c>
      <c r="N143" s="83" t="s">
        <v>57</v>
      </c>
      <c r="O143" s="83" t="s">
        <v>58</v>
      </c>
      <c r="P143" s="85">
        <v>4</v>
      </c>
      <c r="Q143" s="85">
        <v>4</v>
      </c>
      <c r="R143" s="85">
        <v>4</v>
      </c>
      <c r="S143" s="85">
        <v>4</v>
      </c>
      <c r="T143" s="85">
        <f>SUM(P143:S143)</f>
        <v>16</v>
      </c>
      <c r="U143" s="86" t="s">
        <v>880</v>
      </c>
      <c r="V143" s="87"/>
      <c r="W143" s="90"/>
      <c r="X143" s="90"/>
      <c r="Y143" s="90"/>
      <c r="Z143" s="90"/>
      <c r="AA143" s="241"/>
      <c r="AB143" s="241"/>
      <c r="AC143" s="241"/>
      <c r="AD143" s="241"/>
      <c r="AE143" s="241"/>
      <c r="AF143" s="241"/>
      <c r="AG143" s="241"/>
      <c r="AH143" s="241"/>
      <c r="AI143" s="276"/>
      <c r="AJ143" s="241"/>
      <c r="AK143" s="241"/>
      <c r="AL143" s="241"/>
      <c r="AM143" s="276"/>
      <c r="AN143" s="241"/>
      <c r="AO143" s="241"/>
      <c r="AP143" s="275"/>
      <c r="AQ143" s="241"/>
      <c r="AR143" s="241"/>
      <c r="AS143" s="241"/>
      <c r="AT143" s="241"/>
      <c r="AU143" s="161" t="s">
        <v>61</v>
      </c>
      <c r="AV143" s="83" t="s">
        <v>851</v>
      </c>
      <c r="AW143" s="83" t="s">
        <v>877</v>
      </c>
      <c r="AX143" s="162" t="s">
        <v>209</v>
      </c>
      <c r="AY143" s="117" t="s">
        <v>65</v>
      </c>
      <c r="AZ143" s="117" t="s">
        <v>297</v>
      </c>
      <c r="BA143" s="241"/>
      <c r="BB143" s="93" t="s">
        <v>68</v>
      </c>
      <c r="BC143" s="93" t="s">
        <v>152</v>
      </c>
      <c r="BD143" s="93" t="s">
        <v>70</v>
      </c>
    </row>
    <row r="144" spans="1:56" s="69" customFormat="1" ht="28.8" x14ac:dyDescent="0.2">
      <c r="A144" s="246"/>
      <c r="B144" s="246"/>
      <c r="C144" s="248"/>
      <c r="D144" s="249"/>
      <c r="E144" s="255" t="s">
        <v>881</v>
      </c>
      <c r="F144" s="256">
        <f>+[5]Pond!AF103</f>
        <v>12</v>
      </c>
      <c r="G144" s="255" t="s">
        <v>846</v>
      </c>
      <c r="H144" s="253" t="s">
        <v>882</v>
      </c>
      <c r="I144" s="257" t="s">
        <v>883</v>
      </c>
      <c r="J144" s="258">
        <f>+[5]Pond!AF104</f>
        <v>64</v>
      </c>
      <c r="K144" s="94" t="s">
        <v>884</v>
      </c>
      <c r="L144" s="85">
        <v>30</v>
      </c>
      <c r="M144" s="83" t="s">
        <v>885</v>
      </c>
      <c r="N144" s="83" t="s">
        <v>57</v>
      </c>
      <c r="O144" s="83" t="s">
        <v>58</v>
      </c>
      <c r="P144" s="85">
        <v>1</v>
      </c>
      <c r="Q144" s="85">
        <v>1</v>
      </c>
      <c r="R144" s="85">
        <v>1</v>
      </c>
      <c r="S144" s="85">
        <v>1</v>
      </c>
      <c r="T144" s="85">
        <v>1</v>
      </c>
      <c r="U144" s="86"/>
      <c r="V144" s="87"/>
      <c r="W144" s="90"/>
      <c r="X144" s="90"/>
      <c r="Y144" s="90"/>
      <c r="Z144" s="90"/>
      <c r="AA144" s="272">
        <f>+'[5]Gastos por fuentes 2024'!D198+'[5]Gastos por fuentes 2024'!D200</f>
        <v>147000000</v>
      </c>
      <c r="AB144" s="272"/>
      <c r="AC144" s="272"/>
      <c r="AD144" s="272">
        <f>SUM(AA144:AC144)</f>
        <v>147000000</v>
      </c>
      <c r="AE144" s="272">
        <f>+EVEN(AA144*3%+AA144)</f>
        <v>151410000</v>
      </c>
      <c r="AF144" s="272"/>
      <c r="AG144" s="272"/>
      <c r="AH144" s="272">
        <f>SUM(AE144:AG144)</f>
        <v>151410000</v>
      </c>
      <c r="AI144" s="273">
        <f>+EVEN(AE144*10%+AE144)</f>
        <v>166551000</v>
      </c>
      <c r="AJ144" s="272"/>
      <c r="AK144" s="272"/>
      <c r="AL144" s="272">
        <f>SUM(AI144:AK144)</f>
        <v>166551000</v>
      </c>
      <c r="AM144" s="273">
        <f>+EVEN(AI144*10%+AI144)</f>
        <v>183206100</v>
      </c>
      <c r="AN144" s="272"/>
      <c r="AO144" s="272"/>
      <c r="AP144" s="274">
        <f>SUM(AM144:AO144)</f>
        <v>183206100</v>
      </c>
      <c r="AQ144" s="272">
        <f>+AA144+AE144+AI144+AM144</f>
        <v>648167100</v>
      </c>
      <c r="AR144" s="272">
        <f>+AB144+AF144+AJ144+AN144</f>
        <v>0</v>
      </c>
      <c r="AS144" s="272">
        <f>+AC144+AG144+AK144+AO144</f>
        <v>0</v>
      </c>
      <c r="AT144" s="272">
        <f>+AD144+AH144+AL144+AP144</f>
        <v>648167100</v>
      </c>
      <c r="AU144" s="161" t="s">
        <v>61</v>
      </c>
      <c r="AV144" s="94" t="s">
        <v>886</v>
      </c>
      <c r="AW144" s="94" t="s">
        <v>887</v>
      </c>
      <c r="AX144" s="162" t="s">
        <v>209</v>
      </c>
      <c r="AY144" s="117" t="s">
        <v>65</v>
      </c>
      <c r="AZ144" s="117" t="s">
        <v>297</v>
      </c>
      <c r="BA144" s="241"/>
      <c r="BB144" s="93" t="s">
        <v>68</v>
      </c>
      <c r="BC144" s="93" t="s">
        <v>69</v>
      </c>
      <c r="BD144" s="93" t="s">
        <v>70</v>
      </c>
    </row>
    <row r="145" spans="1:56" s="69" customFormat="1" ht="28.8" x14ac:dyDescent="0.2">
      <c r="A145" s="246"/>
      <c r="B145" s="246"/>
      <c r="C145" s="248"/>
      <c r="D145" s="249"/>
      <c r="E145" s="255"/>
      <c r="F145" s="256"/>
      <c r="G145" s="255"/>
      <c r="H145" s="253"/>
      <c r="I145" s="257"/>
      <c r="J145" s="258"/>
      <c r="K145" s="94" t="s">
        <v>888</v>
      </c>
      <c r="L145" s="85">
        <v>30</v>
      </c>
      <c r="M145" s="94" t="s">
        <v>889</v>
      </c>
      <c r="N145" s="83" t="s">
        <v>57</v>
      </c>
      <c r="O145" s="83" t="s">
        <v>58</v>
      </c>
      <c r="P145" s="85">
        <v>6</v>
      </c>
      <c r="Q145" s="85">
        <v>6</v>
      </c>
      <c r="R145" s="85">
        <v>6</v>
      </c>
      <c r="S145" s="85">
        <v>6</v>
      </c>
      <c r="T145" s="85">
        <f>SUM(P145:S145)</f>
        <v>24</v>
      </c>
      <c r="U145" s="86"/>
      <c r="V145" s="87"/>
      <c r="W145" s="90"/>
      <c r="X145" s="90"/>
      <c r="Y145" s="90"/>
      <c r="Z145" s="90"/>
      <c r="AA145" s="272"/>
      <c r="AB145" s="272"/>
      <c r="AC145" s="272"/>
      <c r="AD145" s="272"/>
      <c r="AE145" s="272"/>
      <c r="AF145" s="272"/>
      <c r="AG145" s="272"/>
      <c r="AH145" s="272"/>
      <c r="AI145" s="273"/>
      <c r="AJ145" s="272"/>
      <c r="AK145" s="272"/>
      <c r="AL145" s="272"/>
      <c r="AM145" s="273"/>
      <c r="AN145" s="272"/>
      <c r="AO145" s="272"/>
      <c r="AP145" s="274"/>
      <c r="AQ145" s="272"/>
      <c r="AR145" s="272"/>
      <c r="AS145" s="272"/>
      <c r="AT145" s="272"/>
      <c r="AU145" s="161" t="s">
        <v>61</v>
      </c>
      <c r="AV145" s="94" t="s">
        <v>890</v>
      </c>
      <c r="AW145" s="94" t="s">
        <v>891</v>
      </c>
      <c r="AX145" s="162" t="s">
        <v>209</v>
      </c>
      <c r="AY145" s="117" t="s">
        <v>65</v>
      </c>
      <c r="AZ145" s="117" t="s">
        <v>297</v>
      </c>
      <c r="BA145" s="241"/>
      <c r="BB145" s="93" t="s">
        <v>68</v>
      </c>
      <c r="BC145" s="93" t="s">
        <v>69</v>
      </c>
      <c r="BD145" s="93" t="s">
        <v>70</v>
      </c>
    </row>
    <row r="146" spans="1:56" s="69" customFormat="1" ht="28.8" x14ac:dyDescent="0.2">
      <c r="A146" s="246"/>
      <c r="B146" s="246"/>
      <c r="C146" s="248"/>
      <c r="D146" s="249"/>
      <c r="E146" s="255"/>
      <c r="F146" s="256"/>
      <c r="G146" s="255"/>
      <c r="H146" s="253"/>
      <c r="I146" s="257"/>
      <c r="J146" s="258"/>
      <c r="K146" s="94" t="s">
        <v>892</v>
      </c>
      <c r="L146" s="85">
        <v>40</v>
      </c>
      <c r="M146" s="88" t="s">
        <v>893</v>
      </c>
      <c r="N146" s="83" t="s">
        <v>57</v>
      </c>
      <c r="O146" s="83" t="s">
        <v>58</v>
      </c>
      <c r="P146" s="85">
        <v>3</v>
      </c>
      <c r="Q146" s="85">
        <v>3</v>
      </c>
      <c r="R146" s="85">
        <v>3</v>
      </c>
      <c r="S146" s="85">
        <v>3</v>
      </c>
      <c r="T146" s="85">
        <f>SUM(P146:S146)</f>
        <v>12</v>
      </c>
      <c r="U146" s="86"/>
      <c r="V146" s="87"/>
      <c r="W146" s="90"/>
      <c r="X146" s="90"/>
      <c r="Y146" s="90"/>
      <c r="Z146" s="90"/>
      <c r="AA146" s="272"/>
      <c r="AB146" s="272"/>
      <c r="AC146" s="272"/>
      <c r="AD146" s="272"/>
      <c r="AE146" s="272"/>
      <c r="AF146" s="272"/>
      <c r="AG146" s="272"/>
      <c r="AH146" s="272"/>
      <c r="AI146" s="273"/>
      <c r="AJ146" s="272"/>
      <c r="AK146" s="272"/>
      <c r="AL146" s="272"/>
      <c r="AM146" s="273"/>
      <c r="AN146" s="272"/>
      <c r="AO146" s="272"/>
      <c r="AP146" s="274"/>
      <c r="AQ146" s="272"/>
      <c r="AR146" s="272"/>
      <c r="AS146" s="272"/>
      <c r="AT146" s="272"/>
      <c r="AU146" s="161" t="s">
        <v>61</v>
      </c>
      <c r="AV146" s="94" t="s">
        <v>890</v>
      </c>
      <c r="AW146" s="94" t="s">
        <v>891</v>
      </c>
      <c r="AX146" s="162" t="s">
        <v>209</v>
      </c>
      <c r="AY146" s="117" t="s">
        <v>65</v>
      </c>
      <c r="AZ146" s="117" t="s">
        <v>297</v>
      </c>
      <c r="BA146" s="241"/>
      <c r="BB146" s="93" t="s">
        <v>68</v>
      </c>
      <c r="BC146" s="93" t="s">
        <v>69</v>
      </c>
      <c r="BD146" s="93" t="s">
        <v>70</v>
      </c>
    </row>
    <row r="147" spans="1:56" s="69" customFormat="1" ht="61.2" x14ac:dyDescent="0.2">
      <c r="A147" s="246"/>
      <c r="B147" s="246"/>
      <c r="C147" s="248"/>
      <c r="D147" s="249"/>
      <c r="E147" s="255"/>
      <c r="F147" s="256"/>
      <c r="G147" s="255"/>
      <c r="H147" s="110" t="s">
        <v>894</v>
      </c>
      <c r="I147" s="98" t="s">
        <v>895</v>
      </c>
      <c r="J147" s="99">
        <f>+[5]Pond!AF105</f>
        <v>36</v>
      </c>
      <c r="K147" s="120" t="s">
        <v>896</v>
      </c>
      <c r="L147" s="163">
        <v>100</v>
      </c>
      <c r="M147" s="120" t="s">
        <v>897</v>
      </c>
      <c r="N147" s="83" t="s">
        <v>57</v>
      </c>
      <c r="O147" s="83" t="s">
        <v>73</v>
      </c>
      <c r="P147" s="85">
        <v>5</v>
      </c>
      <c r="Q147" s="85">
        <v>5</v>
      </c>
      <c r="R147" s="85">
        <v>5</v>
      </c>
      <c r="S147" s="85">
        <v>5</v>
      </c>
      <c r="T147" s="85">
        <f>SUM(P147:S147)</f>
        <v>20</v>
      </c>
      <c r="U147" s="86" t="s">
        <v>898</v>
      </c>
      <c r="V147" s="87"/>
      <c r="W147" s="90"/>
      <c r="X147" s="90"/>
      <c r="Y147" s="90"/>
      <c r="Z147" s="90"/>
      <c r="AA147" s="161">
        <f>+'[5]Gastos por fuentes 2024'!D199</f>
        <v>23000000</v>
      </c>
      <c r="AB147" s="161"/>
      <c r="AC147" s="161"/>
      <c r="AD147" s="161">
        <f>SUM(AA147:AC147)</f>
        <v>23000000</v>
      </c>
      <c r="AE147" s="161">
        <f>+EVEN(AA147*3%+AA147)</f>
        <v>23690000</v>
      </c>
      <c r="AF147" s="161"/>
      <c r="AG147" s="161"/>
      <c r="AH147" s="161">
        <f>SUM(AE147:AG147)</f>
        <v>23690000</v>
      </c>
      <c r="AI147" s="164">
        <f>+EVEN(AE147*10%+AE147)</f>
        <v>26059000</v>
      </c>
      <c r="AJ147" s="161"/>
      <c r="AK147" s="161"/>
      <c r="AL147" s="161">
        <f>SUM(AI147:AK147)</f>
        <v>26059000</v>
      </c>
      <c r="AM147" s="164">
        <f>+EVEN(AI147*10%+AI147)</f>
        <v>28664900</v>
      </c>
      <c r="AN147" s="161"/>
      <c r="AO147" s="161"/>
      <c r="AP147" s="165">
        <f>SUM(AM147:AO147)</f>
        <v>28664900</v>
      </c>
      <c r="AQ147" s="161">
        <f>+AA147+AE147+AI147+AM147</f>
        <v>101413900</v>
      </c>
      <c r="AR147" s="161">
        <f>+AB147+AF147+AJ147+AN147</f>
        <v>0</v>
      </c>
      <c r="AS147" s="161">
        <f>+AC147+AG147+AK147+AO147</f>
        <v>0</v>
      </c>
      <c r="AT147" s="161">
        <f>+AD147+AH147+AL147+AP147</f>
        <v>101413900</v>
      </c>
      <c r="AU147" s="161" t="s">
        <v>61</v>
      </c>
      <c r="AV147" s="94" t="s">
        <v>890</v>
      </c>
      <c r="AW147" s="94" t="s">
        <v>891</v>
      </c>
      <c r="AX147" s="162" t="s">
        <v>209</v>
      </c>
      <c r="AY147" s="117" t="s">
        <v>65</v>
      </c>
      <c r="AZ147" s="117" t="s">
        <v>297</v>
      </c>
      <c r="BA147" s="162"/>
      <c r="BB147" s="93" t="s">
        <v>68</v>
      </c>
      <c r="BC147" s="93" t="s">
        <v>77</v>
      </c>
      <c r="BD147" s="93" t="s">
        <v>70</v>
      </c>
    </row>
    <row r="148" spans="1:56" s="69" customFormat="1" ht="62.4" x14ac:dyDescent="0.2">
      <c r="A148" s="246"/>
      <c r="B148" s="246"/>
      <c r="C148" s="248"/>
      <c r="D148" s="249"/>
      <c r="E148" s="255" t="s">
        <v>899</v>
      </c>
      <c r="F148" s="256">
        <f>+[5]Pond!AF106</f>
        <v>17</v>
      </c>
      <c r="G148" s="255" t="s">
        <v>846</v>
      </c>
      <c r="H148" s="110" t="s">
        <v>900</v>
      </c>
      <c r="I148" s="98" t="s">
        <v>901</v>
      </c>
      <c r="J148" s="99">
        <f>+[5]Pond!AF107</f>
        <v>25</v>
      </c>
      <c r="K148" s="83" t="s">
        <v>902</v>
      </c>
      <c r="L148" s="99">
        <v>100</v>
      </c>
      <c r="M148" s="83" t="s">
        <v>903</v>
      </c>
      <c r="N148" s="83" t="s">
        <v>57</v>
      </c>
      <c r="O148" s="83" t="s">
        <v>73</v>
      </c>
      <c r="P148" s="85">
        <v>100</v>
      </c>
      <c r="Q148" s="85">
        <v>100</v>
      </c>
      <c r="R148" s="85">
        <v>100</v>
      </c>
      <c r="S148" s="85">
        <v>100</v>
      </c>
      <c r="T148" s="85">
        <v>100</v>
      </c>
      <c r="U148" s="104" t="s">
        <v>904</v>
      </c>
      <c r="V148" s="129"/>
      <c r="W148" s="90"/>
      <c r="X148" s="90"/>
      <c r="Y148" s="90"/>
      <c r="Z148" s="90"/>
      <c r="AA148" s="155">
        <f>+'[5]Gastos por fuentes 2024'!D202</f>
        <v>66264000</v>
      </c>
      <c r="AB148" s="155"/>
      <c r="AC148" s="155"/>
      <c r="AD148" s="155">
        <f>SUM(AA148:AC148)</f>
        <v>66264000</v>
      </c>
      <c r="AE148" s="155">
        <f>+EVEN(AA148*3%+AA148)</f>
        <v>68251920</v>
      </c>
      <c r="AF148" s="155"/>
      <c r="AG148" s="155"/>
      <c r="AH148" s="155">
        <f>SUM(AE148:AG148)</f>
        <v>68251920</v>
      </c>
      <c r="AI148" s="155">
        <f>+EVEN(AE148*10%+AE148)</f>
        <v>75077112</v>
      </c>
      <c r="AJ148" s="155"/>
      <c r="AK148" s="155"/>
      <c r="AL148" s="155">
        <f>SUM(AI148:AK148)</f>
        <v>75077112</v>
      </c>
      <c r="AM148" s="155">
        <f>+EVEN(AI148*10%+AI148)</f>
        <v>82584824</v>
      </c>
      <c r="AN148" s="155"/>
      <c r="AO148" s="155"/>
      <c r="AP148" s="156">
        <f>SUM(AM148:AO148)</f>
        <v>82584824</v>
      </c>
      <c r="AQ148" s="155">
        <f t="shared" ref="AQ148:AT182" si="39">+AA148+AE148+AI148+AM148</f>
        <v>292177856</v>
      </c>
      <c r="AR148" s="155">
        <f t="shared" si="39"/>
        <v>0</v>
      </c>
      <c r="AS148" s="155">
        <f t="shared" si="39"/>
        <v>0</v>
      </c>
      <c r="AT148" s="155">
        <f t="shared" si="39"/>
        <v>292177856</v>
      </c>
      <c r="AU148" s="115" t="s">
        <v>61</v>
      </c>
      <c r="AV148" s="83" t="s">
        <v>905</v>
      </c>
      <c r="AW148" s="83" t="s">
        <v>906</v>
      </c>
      <c r="AX148" s="162" t="s">
        <v>209</v>
      </c>
      <c r="AY148" s="117" t="s">
        <v>65</v>
      </c>
      <c r="AZ148" s="117" t="s">
        <v>297</v>
      </c>
      <c r="BA148" s="117"/>
      <c r="BB148" s="93" t="s">
        <v>68</v>
      </c>
      <c r="BC148" s="93" t="s">
        <v>69</v>
      </c>
      <c r="BD148" s="93" t="s">
        <v>70</v>
      </c>
    </row>
    <row r="149" spans="1:56" s="69" customFormat="1" ht="77.400000000000006" x14ac:dyDescent="0.2">
      <c r="A149" s="246"/>
      <c r="B149" s="246"/>
      <c r="C149" s="248"/>
      <c r="D149" s="249"/>
      <c r="E149" s="255"/>
      <c r="F149" s="256"/>
      <c r="G149" s="255"/>
      <c r="H149" s="110" t="s">
        <v>907</v>
      </c>
      <c r="I149" s="98" t="s">
        <v>908</v>
      </c>
      <c r="J149" s="99">
        <f>+[5]Pond!AF108</f>
        <v>52</v>
      </c>
      <c r="K149" s="94" t="s">
        <v>909</v>
      </c>
      <c r="L149" s="85">
        <v>100</v>
      </c>
      <c r="M149" s="83" t="s">
        <v>910</v>
      </c>
      <c r="N149" s="83" t="s">
        <v>911</v>
      </c>
      <c r="O149" s="83" t="s">
        <v>73</v>
      </c>
      <c r="P149" s="85">
        <v>32</v>
      </c>
      <c r="Q149" s="85">
        <v>32</v>
      </c>
      <c r="R149" s="85">
        <v>32</v>
      </c>
      <c r="S149" s="85">
        <v>32</v>
      </c>
      <c r="T149" s="85">
        <v>32</v>
      </c>
      <c r="U149" s="104"/>
      <c r="V149" s="104" t="str">
        <f>+M149</f>
        <v xml:space="preserve">Porcentaje de procesos sancionatorios resueltos (IMG Res. 667/16) </v>
      </c>
      <c r="W149" s="90"/>
      <c r="X149" s="90"/>
      <c r="Y149" s="90"/>
      <c r="Z149" s="90"/>
      <c r="AA149" s="115">
        <f>+'[5]Gastos por fuentes 2024'!D203</f>
        <v>500539824</v>
      </c>
      <c r="AB149" s="115"/>
      <c r="AC149" s="115"/>
      <c r="AD149" s="115">
        <f>SUM(AA149:AC149)</f>
        <v>500539824</v>
      </c>
      <c r="AE149" s="115">
        <f>+EVEN(AA149*3%+AA149)</f>
        <v>515556020</v>
      </c>
      <c r="AF149" s="115"/>
      <c r="AG149" s="115"/>
      <c r="AH149" s="115">
        <f>SUM(AE149:AG149)</f>
        <v>515556020</v>
      </c>
      <c r="AI149" s="115">
        <f>+EVEN(AE149*10%+AE149)</f>
        <v>567111622</v>
      </c>
      <c r="AJ149" s="115"/>
      <c r="AK149" s="115"/>
      <c r="AL149" s="115">
        <f>SUM(AI149:AK149)</f>
        <v>567111622</v>
      </c>
      <c r="AM149" s="115">
        <f>+EVEN(AI149*10%+AI149)</f>
        <v>623822786</v>
      </c>
      <c r="AN149" s="115"/>
      <c r="AO149" s="115"/>
      <c r="AP149" s="116">
        <f>SUM(AM149:AO149)</f>
        <v>623822786</v>
      </c>
      <c r="AQ149" s="115">
        <f t="shared" si="39"/>
        <v>2207030252</v>
      </c>
      <c r="AR149" s="115">
        <f t="shared" si="39"/>
        <v>0</v>
      </c>
      <c r="AS149" s="115">
        <f t="shared" si="39"/>
        <v>0</v>
      </c>
      <c r="AT149" s="115">
        <f t="shared" si="39"/>
        <v>2207030252</v>
      </c>
      <c r="AU149" s="115" t="s">
        <v>61</v>
      </c>
      <c r="AV149" s="83" t="s">
        <v>905</v>
      </c>
      <c r="AW149" s="83" t="s">
        <v>906</v>
      </c>
      <c r="AX149" s="162" t="s">
        <v>209</v>
      </c>
      <c r="AY149" s="117" t="s">
        <v>65</v>
      </c>
      <c r="AZ149" s="117" t="s">
        <v>297</v>
      </c>
      <c r="BA149" s="117" t="s">
        <v>390</v>
      </c>
      <c r="BB149" s="93" t="s">
        <v>68</v>
      </c>
      <c r="BC149" s="93" t="s">
        <v>69</v>
      </c>
      <c r="BD149" s="93" t="s">
        <v>70</v>
      </c>
    </row>
    <row r="150" spans="1:56" s="69" customFormat="1" ht="64.8" x14ac:dyDescent="0.2">
      <c r="A150" s="246"/>
      <c r="B150" s="246"/>
      <c r="C150" s="248"/>
      <c r="D150" s="249"/>
      <c r="E150" s="255"/>
      <c r="F150" s="256"/>
      <c r="G150" s="255"/>
      <c r="H150" s="110" t="s">
        <v>912</v>
      </c>
      <c r="I150" s="98" t="s">
        <v>913</v>
      </c>
      <c r="J150" s="99">
        <f>+[5]Pond!AF109</f>
        <v>23</v>
      </c>
      <c r="K150" s="83" t="s">
        <v>914</v>
      </c>
      <c r="L150" s="99">
        <v>100</v>
      </c>
      <c r="M150" s="83" t="s">
        <v>915</v>
      </c>
      <c r="N150" s="83" t="s">
        <v>57</v>
      </c>
      <c r="O150" s="83" t="s">
        <v>73</v>
      </c>
      <c r="P150" s="85">
        <v>100</v>
      </c>
      <c r="Q150" s="85">
        <v>100</v>
      </c>
      <c r="R150" s="85">
        <v>100</v>
      </c>
      <c r="S150" s="85">
        <v>100</v>
      </c>
      <c r="T150" s="85">
        <v>100</v>
      </c>
      <c r="U150" s="86"/>
      <c r="V150" s="87"/>
      <c r="W150" s="90"/>
      <c r="X150" s="90"/>
      <c r="Y150" s="90"/>
      <c r="Z150" s="90"/>
      <c r="AA150" s="115">
        <f>+'[5]Gastos por fuentes 2024'!D206</f>
        <v>82729600</v>
      </c>
      <c r="AB150" s="115"/>
      <c r="AC150" s="115"/>
      <c r="AD150" s="115">
        <f>SUM(AA150:AC150)</f>
        <v>82729600</v>
      </c>
      <c r="AE150" s="115">
        <f>+EVEN(AA150*3%+AA150)</f>
        <v>85211488</v>
      </c>
      <c r="AF150" s="115"/>
      <c r="AG150" s="115"/>
      <c r="AH150" s="115">
        <f>SUM(AE150:AG150)</f>
        <v>85211488</v>
      </c>
      <c r="AI150" s="115">
        <f>+EVEN(AE150*10%+AE150)</f>
        <v>93732638</v>
      </c>
      <c r="AJ150" s="115"/>
      <c r="AK150" s="115"/>
      <c r="AL150" s="115">
        <f>SUM(AI150:AK150)</f>
        <v>93732638</v>
      </c>
      <c r="AM150" s="115">
        <f>+EVEN(AI150*10%+AI150)</f>
        <v>103105902</v>
      </c>
      <c r="AN150" s="115"/>
      <c r="AO150" s="115"/>
      <c r="AP150" s="116">
        <f>SUM(AM150:AO150)</f>
        <v>103105902</v>
      </c>
      <c r="AQ150" s="115">
        <f t="shared" si="39"/>
        <v>364779628</v>
      </c>
      <c r="AR150" s="115">
        <f t="shared" si="39"/>
        <v>0</v>
      </c>
      <c r="AS150" s="115">
        <f t="shared" si="39"/>
        <v>0</v>
      </c>
      <c r="AT150" s="115">
        <f t="shared" si="39"/>
        <v>364779628</v>
      </c>
      <c r="AU150" s="115" t="s">
        <v>61</v>
      </c>
      <c r="AV150" s="83" t="s">
        <v>905</v>
      </c>
      <c r="AW150" s="83" t="s">
        <v>916</v>
      </c>
      <c r="AX150" s="162" t="s">
        <v>209</v>
      </c>
      <c r="AY150" s="117" t="s">
        <v>65</v>
      </c>
      <c r="AZ150" s="117" t="s">
        <v>297</v>
      </c>
      <c r="BA150" s="117"/>
      <c r="BB150" s="93" t="s">
        <v>68</v>
      </c>
      <c r="BC150" s="93" t="s">
        <v>69</v>
      </c>
      <c r="BD150" s="93" t="s">
        <v>70</v>
      </c>
    </row>
    <row r="151" spans="1:56" s="69" customFormat="1" ht="48" x14ac:dyDescent="0.2">
      <c r="A151" s="246"/>
      <c r="B151" s="246"/>
      <c r="C151" s="248"/>
      <c r="D151" s="249"/>
      <c r="E151" s="255" t="s">
        <v>917</v>
      </c>
      <c r="F151" s="256">
        <f>+[5]Pond!AF110</f>
        <v>12</v>
      </c>
      <c r="G151" s="255" t="s">
        <v>846</v>
      </c>
      <c r="H151" s="255" t="s">
        <v>918</v>
      </c>
      <c r="I151" s="235" t="s">
        <v>919</v>
      </c>
      <c r="J151" s="236">
        <f>+[5]Pond!AF111</f>
        <v>63</v>
      </c>
      <c r="K151" s="86" t="s">
        <v>920</v>
      </c>
      <c r="L151" s="85">
        <v>35</v>
      </c>
      <c r="M151" s="83" t="s">
        <v>921</v>
      </c>
      <c r="N151" s="83" t="s">
        <v>57</v>
      </c>
      <c r="O151" s="119" t="s">
        <v>58</v>
      </c>
      <c r="P151" s="97">
        <v>4</v>
      </c>
      <c r="Q151" s="97">
        <v>4</v>
      </c>
      <c r="R151" s="97">
        <v>4</v>
      </c>
      <c r="S151" s="97">
        <v>4</v>
      </c>
      <c r="T151" s="97">
        <v>4</v>
      </c>
      <c r="U151" s="86"/>
      <c r="V151" s="87"/>
      <c r="W151" s="90"/>
      <c r="X151" s="90"/>
      <c r="Y151" s="90"/>
      <c r="Z151" s="90"/>
      <c r="AA151" s="237">
        <f>+'[5]Gastos por fuentes 2024'!D208+'[5]Gastos por fuentes 2024'!D209+'[5]Gastos por fuentes 2024'!D210</f>
        <v>84436400</v>
      </c>
      <c r="AB151" s="237"/>
      <c r="AC151" s="237"/>
      <c r="AD151" s="237">
        <f>SUM(AA151:AC151)</f>
        <v>84436400</v>
      </c>
      <c r="AE151" s="237">
        <f>+EVEN(AA151*3%+AA151)+60000000</f>
        <v>146969492</v>
      </c>
      <c r="AF151" s="237"/>
      <c r="AG151" s="237"/>
      <c r="AH151" s="237">
        <f>SUM(AE151:AG151)</f>
        <v>146969492</v>
      </c>
      <c r="AI151" s="237">
        <f>+EVEN(AE151*10%+AE151)</f>
        <v>161666442</v>
      </c>
      <c r="AJ151" s="237"/>
      <c r="AK151" s="237"/>
      <c r="AL151" s="237">
        <f>SUM(AI151:AK151)</f>
        <v>161666442</v>
      </c>
      <c r="AM151" s="237">
        <f>+EVEN(AI151*10%+AI151)</f>
        <v>177833088</v>
      </c>
      <c r="AN151" s="237"/>
      <c r="AO151" s="237"/>
      <c r="AP151" s="238">
        <f>SUM(AM151:AO151)</f>
        <v>177833088</v>
      </c>
      <c r="AQ151" s="237">
        <f t="shared" si="39"/>
        <v>570905422</v>
      </c>
      <c r="AR151" s="237">
        <f t="shared" si="39"/>
        <v>0</v>
      </c>
      <c r="AS151" s="237">
        <f t="shared" si="39"/>
        <v>0</v>
      </c>
      <c r="AT151" s="237">
        <f t="shared" si="39"/>
        <v>570905422</v>
      </c>
      <c r="AU151" s="115" t="s">
        <v>61</v>
      </c>
      <c r="AV151" s="86" t="s">
        <v>922</v>
      </c>
      <c r="AW151" s="86" t="s">
        <v>923</v>
      </c>
      <c r="AX151" s="117" t="s">
        <v>209</v>
      </c>
      <c r="AY151" s="117" t="s">
        <v>65</v>
      </c>
      <c r="AZ151" s="117" t="s">
        <v>297</v>
      </c>
      <c r="BA151" s="234"/>
      <c r="BB151" s="93" t="s">
        <v>68</v>
      </c>
      <c r="BC151" s="93" t="s">
        <v>107</v>
      </c>
      <c r="BD151" s="93" t="s">
        <v>70</v>
      </c>
    </row>
    <row r="152" spans="1:56" s="69" customFormat="1" ht="28.8" x14ac:dyDescent="0.2">
      <c r="A152" s="246"/>
      <c r="B152" s="246"/>
      <c r="C152" s="248"/>
      <c r="D152" s="249"/>
      <c r="E152" s="255"/>
      <c r="F152" s="256"/>
      <c r="G152" s="255"/>
      <c r="H152" s="255"/>
      <c r="I152" s="235"/>
      <c r="J152" s="236"/>
      <c r="K152" s="104" t="s">
        <v>924</v>
      </c>
      <c r="L152" s="97">
        <v>35</v>
      </c>
      <c r="M152" s="88" t="s">
        <v>925</v>
      </c>
      <c r="N152" s="83" t="s">
        <v>57</v>
      </c>
      <c r="O152" s="83" t="s">
        <v>81</v>
      </c>
      <c r="P152" s="85">
        <v>100</v>
      </c>
      <c r="Q152" s="85">
        <v>100</v>
      </c>
      <c r="R152" s="85">
        <v>100</v>
      </c>
      <c r="S152" s="85">
        <v>100</v>
      </c>
      <c r="T152" s="85">
        <v>100</v>
      </c>
      <c r="U152" s="86"/>
      <c r="V152" s="87"/>
      <c r="W152" s="90"/>
      <c r="X152" s="90"/>
      <c r="Y152" s="90"/>
      <c r="Z152" s="90"/>
      <c r="AA152" s="237"/>
      <c r="AB152" s="237"/>
      <c r="AC152" s="237"/>
      <c r="AD152" s="237"/>
      <c r="AE152" s="237"/>
      <c r="AF152" s="237"/>
      <c r="AG152" s="237"/>
      <c r="AH152" s="237"/>
      <c r="AI152" s="237">
        <f t="shared" ref="AI152:AI153" si="40">+EVEN(AE152*6%+AE152)</f>
        <v>0</v>
      </c>
      <c r="AJ152" s="237"/>
      <c r="AK152" s="237"/>
      <c r="AL152" s="237"/>
      <c r="AM152" s="237">
        <f t="shared" ref="AM152:AM174" si="41">+EVEN(AI152*6%+AI152)</f>
        <v>0</v>
      </c>
      <c r="AN152" s="237"/>
      <c r="AO152" s="237"/>
      <c r="AP152" s="238"/>
      <c r="AQ152" s="237">
        <f t="shared" si="39"/>
        <v>0</v>
      </c>
      <c r="AR152" s="237">
        <f t="shared" si="39"/>
        <v>0</v>
      </c>
      <c r="AS152" s="237">
        <f t="shared" si="39"/>
        <v>0</v>
      </c>
      <c r="AT152" s="237">
        <f t="shared" si="39"/>
        <v>0</v>
      </c>
      <c r="AU152" s="115" t="s">
        <v>61</v>
      </c>
      <c r="AV152" s="104" t="s">
        <v>862</v>
      </c>
      <c r="AW152" s="104" t="s">
        <v>863</v>
      </c>
      <c r="AX152" s="117" t="s">
        <v>209</v>
      </c>
      <c r="AY152" s="117" t="s">
        <v>65</v>
      </c>
      <c r="AZ152" s="117" t="s">
        <v>297</v>
      </c>
      <c r="BA152" s="234"/>
      <c r="BB152" s="93" t="s">
        <v>68</v>
      </c>
      <c r="BC152" s="93" t="s">
        <v>152</v>
      </c>
      <c r="BD152" s="93" t="s">
        <v>70</v>
      </c>
    </row>
    <row r="153" spans="1:56" s="69" customFormat="1" ht="48" x14ac:dyDescent="0.2">
      <c r="A153" s="246"/>
      <c r="B153" s="246"/>
      <c r="C153" s="248"/>
      <c r="D153" s="249"/>
      <c r="E153" s="255"/>
      <c r="F153" s="256"/>
      <c r="G153" s="255"/>
      <c r="H153" s="255"/>
      <c r="I153" s="235"/>
      <c r="J153" s="236"/>
      <c r="K153" s="86" t="s">
        <v>926</v>
      </c>
      <c r="L153" s="85">
        <v>30</v>
      </c>
      <c r="M153" s="94" t="s">
        <v>927</v>
      </c>
      <c r="N153" s="83" t="s">
        <v>57</v>
      </c>
      <c r="O153" s="94" t="s">
        <v>58</v>
      </c>
      <c r="P153" s="85">
        <v>100</v>
      </c>
      <c r="Q153" s="85">
        <v>100</v>
      </c>
      <c r="R153" s="85">
        <v>100</v>
      </c>
      <c r="S153" s="85">
        <v>100</v>
      </c>
      <c r="T153" s="85">
        <v>100</v>
      </c>
      <c r="U153" s="86" t="s">
        <v>928</v>
      </c>
      <c r="V153" s="87"/>
      <c r="W153" s="90"/>
      <c r="X153" s="90"/>
      <c r="Y153" s="90"/>
      <c r="Z153" s="90"/>
      <c r="AA153" s="237"/>
      <c r="AB153" s="237"/>
      <c r="AC153" s="237"/>
      <c r="AD153" s="237"/>
      <c r="AE153" s="237"/>
      <c r="AF153" s="237"/>
      <c r="AG153" s="237"/>
      <c r="AH153" s="237"/>
      <c r="AI153" s="237">
        <f t="shared" si="40"/>
        <v>0</v>
      </c>
      <c r="AJ153" s="237"/>
      <c r="AK153" s="237"/>
      <c r="AL153" s="237"/>
      <c r="AM153" s="237">
        <f t="shared" si="41"/>
        <v>0</v>
      </c>
      <c r="AN153" s="237"/>
      <c r="AO153" s="237"/>
      <c r="AP153" s="238"/>
      <c r="AQ153" s="237">
        <f t="shared" si="39"/>
        <v>0</v>
      </c>
      <c r="AR153" s="237">
        <f t="shared" si="39"/>
        <v>0</v>
      </c>
      <c r="AS153" s="237">
        <f t="shared" si="39"/>
        <v>0</v>
      </c>
      <c r="AT153" s="237">
        <f t="shared" si="39"/>
        <v>0</v>
      </c>
      <c r="AU153" s="115" t="s">
        <v>61</v>
      </c>
      <c r="AV153" s="86" t="s">
        <v>929</v>
      </c>
      <c r="AW153" s="86" t="s">
        <v>930</v>
      </c>
      <c r="AX153" s="117" t="s">
        <v>209</v>
      </c>
      <c r="AY153" s="117" t="s">
        <v>65</v>
      </c>
      <c r="AZ153" s="117" t="s">
        <v>297</v>
      </c>
      <c r="BA153" s="234"/>
      <c r="BB153" s="93" t="s">
        <v>68</v>
      </c>
      <c r="BC153" s="93" t="s">
        <v>107</v>
      </c>
      <c r="BD153" s="93" t="s">
        <v>70</v>
      </c>
    </row>
    <row r="154" spans="1:56" s="69" customFormat="1" ht="48" x14ac:dyDescent="0.2">
      <c r="A154" s="246"/>
      <c r="B154" s="246"/>
      <c r="C154" s="248"/>
      <c r="D154" s="249"/>
      <c r="E154" s="255"/>
      <c r="F154" s="256"/>
      <c r="G154" s="255"/>
      <c r="H154" s="255" t="s">
        <v>931</v>
      </c>
      <c r="I154" s="235" t="s">
        <v>932</v>
      </c>
      <c r="J154" s="236">
        <f>+[5]Pond!AF112</f>
        <v>37</v>
      </c>
      <c r="K154" s="94" t="s">
        <v>933</v>
      </c>
      <c r="L154" s="85">
        <v>50</v>
      </c>
      <c r="M154" s="88" t="s">
        <v>934</v>
      </c>
      <c r="N154" s="83" t="s">
        <v>57</v>
      </c>
      <c r="O154" s="83" t="s">
        <v>73</v>
      </c>
      <c r="P154" s="85">
        <v>100</v>
      </c>
      <c r="Q154" s="85">
        <v>100</v>
      </c>
      <c r="R154" s="85">
        <v>100</v>
      </c>
      <c r="S154" s="85">
        <v>100</v>
      </c>
      <c r="T154" s="85">
        <v>100</v>
      </c>
      <c r="U154" s="86" t="s">
        <v>935</v>
      </c>
      <c r="V154" s="87"/>
      <c r="W154" s="90"/>
      <c r="X154" s="90"/>
      <c r="Y154" s="90"/>
      <c r="Z154" s="90"/>
      <c r="AA154" s="237">
        <f>+'[5]Gastos por fuentes 2024'!D211</f>
        <v>27911200</v>
      </c>
      <c r="AB154" s="237"/>
      <c r="AC154" s="237"/>
      <c r="AD154" s="237">
        <f>SUM(AA154:AC154)</f>
        <v>27911200</v>
      </c>
      <c r="AE154" s="237">
        <f>+EVEN(AA154*3%+AA154)</f>
        <v>28748536</v>
      </c>
      <c r="AF154" s="237"/>
      <c r="AG154" s="237"/>
      <c r="AH154" s="237">
        <f>SUM(AE154:AG154)</f>
        <v>28748536</v>
      </c>
      <c r="AI154" s="237">
        <f>+EVEN(AE154*10%+AE154)</f>
        <v>31623390</v>
      </c>
      <c r="AJ154" s="237"/>
      <c r="AK154" s="237"/>
      <c r="AL154" s="237">
        <f>SUM(AI154:AK154)</f>
        <v>31623390</v>
      </c>
      <c r="AM154" s="237">
        <f>+EVEN(AI154*10%+AI154)</f>
        <v>34785730</v>
      </c>
      <c r="AN154" s="237"/>
      <c r="AO154" s="237"/>
      <c r="AP154" s="238">
        <f>SUM(AM154:AO154)</f>
        <v>34785730</v>
      </c>
      <c r="AQ154" s="237">
        <f t="shared" si="39"/>
        <v>123068856</v>
      </c>
      <c r="AR154" s="237">
        <f t="shared" si="39"/>
        <v>0</v>
      </c>
      <c r="AS154" s="237">
        <f t="shared" si="39"/>
        <v>0</v>
      </c>
      <c r="AT154" s="237">
        <f t="shared" si="39"/>
        <v>123068856</v>
      </c>
      <c r="AU154" s="115" t="s">
        <v>61</v>
      </c>
      <c r="AV154" s="94" t="s">
        <v>936</v>
      </c>
      <c r="AW154" s="94" t="s">
        <v>937</v>
      </c>
      <c r="AX154" s="117" t="s">
        <v>209</v>
      </c>
      <c r="AY154" s="117" t="s">
        <v>65</v>
      </c>
      <c r="AZ154" s="117" t="s">
        <v>297</v>
      </c>
      <c r="BA154" s="234"/>
      <c r="BB154" s="93" t="s">
        <v>68</v>
      </c>
      <c r="BC154" s="93" t="s">
        <v>107</v>
      </c>
      <c r="BD154" s="93" t="s">
        <v>70</v>
      </c>
    </row>
    <row r="155" spans="1:56" s="69" customFormat="1" ht="48" x14ac:dyDescent="0.2">
      <c r="A155" s="246"/>
      <c r="B155" s="246"/>
      <c r="C155" s="248"/>
      <c r="D155" s="249"/>
      <c r="E155" s="255"/>
      <c r="F155" s="256"/>
      <c r="G155" s="255"/>
      <c r="H155" s="255"/>
      <c r="I155" s="235"/>
      <c r="J155" s="236"/>
      <c r="K155" s="94" t="s">
        <v>938</v>
      </c>
      <c r="L155" s="85">
        <v>50</v>
      </c>
      <c r="M155" s="88" t="s">
        <v>939</v>
      </c>
      <c r="N155" s="83" t="s">
        <v>57</v>
      </c>
      <c r="O155" s="83" t="s">
        <v>81</v>
      </c>
      <c r="P155" s="85">
        <v>100</v>
      </c>
      <c r="Q155" s="85">
        <v>100</v>
      </c>
      <c r="R155" s="85">
        <v>100</v>
      </c>
      <c r="S155" s="85">
        <v>100</v>
      </c>
      <c r="T155" s="85">
        <v>100</v>
      </c>
      <c r="U155" s="104"/>
      <c r="V155" s="125"/>
      <c r="W155" s="90"/>
      <c r="X155" s="90"/>
      <c r="Y155" s="90"/>
      <c r="Z155" s="90"/>
      <c r="AA155" s="237"/>
      <c r="AB155" s="237"/>
      <c r="AC155" s="237"/>
      <c r="AD155" s="237"/>
      <c r="AE155" s="237"/>
      <c r="AF155" s="237"/>
      <c r="AG155" s="237"/>
      <c r="AH155" s="237"/>
      <c r="AI155" s="237"/>
      <c r="AJ155" s="237"/>
      <c r="AK155" s="237"/>
      <c r="AL155" s="237"/>
      <c r="AM155" s="237">
        <f t="shared" si="41"/>
        <v>0</v>
      </c>
      <c r="AN155" s="237"/>
      <c r="AO155" s="237"/>
      <c r="AP155" s="238"/>
      <c r="AQ155" s="237">
        <f t="shared" si="39"/>
        <v>0</v>
      </c>
      <c r="AR155" s="237">
        <f t="shared" si="39"/>
        <v>0</v>
      </c>
      <c r="AS155" s="237">
        <f t="shared" si="39"/>
        <v>0</v>
      </c>
      <c r="AT155" s="237">
        <f t="shared" si="39"/>
        <v>0</v>
      </c>
      <c r="AU155" s="115" t="s">
        <v>61</v>
      </c>
      <c r="AV155" s="94" t="s">
        <v>936</v>
      </c>
      <c r="AW155" s="94" t="s">
        <v>937</v>
      </c>
      <c r="AX155" s="117" t="s">
        <v>209</v>
      </c>
      <c r="AY155" s="117" t="s">
        <v>65</v>
      </c>
      <c r="AZ155" s="117" t="s">
        <v>297</v>
      </c>
      <c r="BA155" s="234"/>
      <c r="BB155" s="93" t="s">
        <v>68</v>
      </c>
      <c r="BC155" s="93" t="s">
        <v>107</v>
      </c>
      <c r="BD155" s="93" t="s">
        <v>70</v>
      </c>
    </row>
    <row r="156" spans="1:56" s="69" customFormat="1" ht="48" x14ac:dyDescent="0.2">
      <c r="A156" s="246"/>
      <c r="B156" s="246"/>
      <c r="C156" s="248"/>
      <c r="D156" s="249"/>
      <c r="E156" s="255" t="s">
        <v>940</v>
      </c>
      <c r="F156" s="256">
        <f>+[5]Pond!AF113</f>
        <v>8</v>
      </c>
      <c r="G156" s="255" t="s">
        <v>846</v>
      </c>
      <c r="H156" s="255" t="s">
        <v>941</v>
      </c>
      <c r="I156" s="257" t="s">
        <v>942</v>
      </c>
      <c r="J156" s="258">
        <f>+[5]Pond!AF114</f>
        <v>100</v>
      </c>
      <c r="K156" s="83" t="s">
        <v>943</v>
      </c>
      <c r="L156" s="99">
        <v>25</v>
      </c>
      <c r="M156" s="83" t="s">
        <v>944</v>
      </c>
      <c r="N156" s="83" t="s">
        <v>57</v>
      </c>
      <c r="O156" s="83" t="s">
        <v>73</v>
      </c>
      <c r="P156" s="85">
        <v>100</v>
      </c>
      <c r="Q156" s="85">
        <v>100</v>
      </c>
      <c r="R156" s="85" t="s">
        <v>531</v>
      </c>
      <c r="S156" s="85">
        <v>100</v>
      </c>
      <c r="T156" s="85">
        <v>100</v>
      </c>
      <c r="U156" s="86"/>
      <c r="V156" s="87"/>
      <c r="W156" s="90"/>
      <c r="X156" s="90"/>
      <c r="Y156" s="90"/>
      <c r="Z156" s="90"/>
      <c r="AA156" s="237">
        <f>+'[5]Gastos por fuentes 2024'!D213</f>
        <v>131930000</v>
      </c>
      <c r="AB156" s="237"/>
      <c r="AC156" s="237"/>
      <c r="AD156" s="237">
        <f>SUM(AA156:AC156)</f>
        <v>131930000</v>
      </c>
      <c r="AE156" s="237">
        <f>+EVEN(AA156*3%+AA156)</f>
        <v>135887900</v>
      </c>
      <c r="AF156" s="237"/>
      <c r="AG156" s="237"/>
      <c r="AH156" s="237">
        <f>SUM(AE156:AG156)</f>
        <v>135887900</v>
      </c>
      <c r="AI156" s="237">
        <f>+EVEN(AE156*10%+AE156)</f>
        <v>149476690</v>
      </c>
      <c r="AJ156" s="237"/>
      <c r="AK156" s="237"/>
      <c r="AL156" s="237">
        <f>SUM(AI156:AK156)</f>
        <v>149476690</v>
      </c>
      <c r="AM156" s="237">
        <f>+EVEN(AI156*10%+AI156)</f>
        <v>164424360</v>
      </c>
      <c r="AN156" s="237"/>
      <c r="AO156" s="237"/>
      <c r="AP156" s="238">
        <f>SUM(AM156:AO156)</f>
        <v>164424360</v>
      </c>
      <c r="AQ156" s="237">
        <f t="shared" si="39"/>
        <v>581718950</v>
      </c>
      <c r="AR156" s="237">
        <f t="shared" si="39"/>
        <v>0</v>
      </c>
      <c r="AS156" s="237">
        <f t="shared" si="39"/>
        <v>0</v>
      </c>
      <c r="AT156" s="237">
        <f t="shared" si="39"/>
        <v>581718950</v>
      </c>
      <c r="AU156" s="115" t="s">
        <v>61</v>
      </c>
      <c r="AV156" s="83" t="s">
        <v>886</v>
      </c>
      <c r="AW156" s="83" t="s">
        <v>945</v>
      </c>
      <c r="AX156" s="117" t="s">
        <v>209</v>
      </c>
      <c r="AY156" s="117" t="s">
        <v>65</v>
      </c>
      <c r="AZ156" s="117" t="s">
        <v>297</v>
      </c>
      <c r="BA156" s="234"/>
      <c r="BB156" s="93" t="s">
        <v>68</v>
      </c>
      <c r="BC156" s="93" t="s">
        <v>107</v>
      </c>
      <c r="BD156" s="93" t="s">
        <v>70</v>
      </c>
    </row>
    <row r="157" spans="1:56" s="69" customFormat="1" ht="48" x14ac:dyDescent="0.2">
      <c r="A157" s="246"/>
      <c r="B157" s="246"/>
      <c r="C157" s="248"/>
      <c r="D157" s="249"/>
      <c r="E157" s="255"/>
      <c r="F157" s="256"/>
      <c r="G157" s="255"/>
      <c r="H157" s="255"/>
      <c r="I157" s="257"/>
      <c r="J157" s="258"/>
      <c r="K157" s="83" t="s">
        <v>946</v>
      </c>
      <c r="L157" s="99">
        <v>25</v>
      </c>
      <c r="M157" s="83" t="s">
        <v>947</v>
      </c>
      <c r="N157" s="83" t="s">
        <v>57</v>
      </c>
      <c r="O157" s="83" t="s">
        <v>948</v>
      </c>
      <c r="P157" s="85">
        <v>20</v>
      </c>
      <c r="Q157" s="85">
        <v>20</v>
      </c>
      <c r="R157" s="85">
        <v>20</v>
      </c>
      <c r="S157" s="85">
        <v>20</v>
      </c>
      <c r="T157" s="85">
        <f>SUM(P157:S157)</f>
        <v>80</v>
      </c>
      <c r="U157" s="86"/>
      <c r="V157" s="87"/>
      <c r="W157" s="90"/>
      <c r="X157" s="90"/>
      <c r="Y157" s="90"/>
      <c r="Z157" s="90"/>
      <c r="AA157" s="237"/>
      <c r="AB157" s="237"/>
      <c r="AC157" s="237"/>
      <c r="AD157" s="237"/>
      <c r="AE157" s="237"/>
      <c r="AF157" s="237"/>
      <c r="AG157" s="237"/>
      <c r="AH157" s="237"/>
      <c r="AI157" s="237"/>
      <c r="AJ157" s="237"/>
      <c r="AK157" s="237"/>
      <c r="AL157" s="237"/>
      <c r="AM157" s="237">
        <f t="shared" si="41"/>
        <v>0</v>
      </c>
      <c r="AN157" s="237"/>
      <c r="AO157" s="237"/>
      <c r="AP157" s="238"/>
      <c r="AQ157" s="237">
        <f t="shared" si="39"/>
        <v>0</v>
      </c>
      <c r="AR157" s="237">
        <f t="shared" si="39"/>
        <v>0</v>
      </c>
      <c r="AS157" s="237">
        <f t="shared" si="39"/>
        <v>0</v>
      </c>
      <c r="AT157" s="237">
        <f t="shared" si="39"/>
        <v>0</v>
      </c>
      <c r="AU157" s="115" t="s">
        <v>61</v>
      </c>
      <c r="AV157" s="83" t="s">
        <v>886</v>
      </c>
      <c r="AW157" s="83" t="s">
        <v>945</v>
      </c>
      <c r="AX157" s="117" t="s">
        <v>209</v>
      </c>
      <c r="AY157" s="117" t="s">
        <v>65</v>
      </c>
      <c r="AZ157" s="117" t="s">
        <v>297</v>
      </c>
      <c r="BA157" s="234"/>
      <c r="BB157" s="93" t="s">
        <v>68</v>
      </c>
      <c r="BC157" s="93" t="s">
        <v>107</v>
      </c>
      <c r="BD157" s="93" t="s">
        <v>70</v>
      </c>
    </row>
    <row r="158" spans="1:56" s="69" customFormat="1" ht="48" x14ac:dyDescent="0.2">
      <c r="A158" s="246"/>
      <c r="B158" s="246"/>
      <c r="C158" s="248"/>
      <c r="D158" s="249"/>
      <c r="E158" s="255"/>
      <c r="F158" s="256"/>
      <c r="G158" s="255"/>
      <c r="H158" s="255"/>
      <c r="I158" s="257"/>
      <c r="J158" s="258"/>
      <c r="K158" s="83" t="s">
        <v>949</v>
      </c>
      <c r="L158" s="99">
        <v>25</v>
      </c>
      <c r="M158" s="83" t="s">
        <v>950</v>
      </c>
      <c r="N158" s="83" t="s">
        <v>57</v>
      </c>
      <c r="O158" s="83" t="s">
        <v>58</v>
      </c>
      <c r="P158" s="85">
        <v>4</v>
      </c>
      <c r="Q158" s="85">
        <v>4</v>
      </c>
      <c r="R158" s="85">
        <v>4</v>
      </c>
      <c r="S158" s="85">
        <v>4</v>
      </c>
      <c r="T158" s="85">
        <f>SUM(Q158:S158)</f>
        <v>12</v>
      </c>
      <c r="U158" s="86"/>
      <c r="V158" s="87"/>
      <c r="W158" s="90"/>
      <c r="X158" s="90"/>
      <c r="Y158" s="90"/>
      <c r="Z158" s="90"/>
      <c r="AA158" s="237"/>
      <c r="AB158" s="237"/>
      <c r="AC158" s="237"/>
      <c r="AD158" s="237"/>
      <c r="AE158" s="237"/>
      <c r="AF158" s="237"/>
      <c r="AG158" s="237"/>
      <c r="AH158" s="237"/>
      <c r="AI158" s="237">
        <f t="shared" ref="AI158" si="42">+EVEN(AE158*6%+AE158)</f>
        <v>0</v>
      </c>
      <c r="AJ158" s="237"/>
      <c r="AK158" s="237"/>
      <c r="AL158" s="237"/>
      <c r="AM158" s="237">
        <f t="shared" si="41"/>
        <v>0</v>
      </c>
      <c r="AN158" s="237"/>
      <c r="AO158" s="237"/>
      <c r="AP158" s="238"/>
      <c r="AQ158" s="237">
        <f t="shared" si="39"/>
        <v>0</v>
      </c>
      <c r="AR158" s="237">
        <f t="shared" si="39"/>
        <v>0</v>
      </c>
      <c r="AS158" s="237">
        <f t="shared" si="39"/>
        <v>0</v>
      </c>
      <c r="AT158" s="237">
        <f t="shared" si="39"/>
        <v>0</v>
      </c>
      <c r="AU158" s="115" t="s">
        <v>61</v>
      </c>
      <c r="AV158" s="83" t="s">
        <v>951</v>
      </c>
      <c r="AW158" s="83" t="s">
        <v>952</v>
      </c>
      <c r="AX158" s="117" t="s">
        <v>209</v>
      </c>
      <c r="AY158" s="117" t="s">
        <v>65</v>
      </c>
      <c r="AZ158" s="117" t="s">
        <v>297</v>
      </c>
      <c r="BA158" s="234"/>
      <c r="BB158" s="93" t="s">
        <v>68</v>
      </c>
      <c r="BC158" s="93" t="s">
        <v>107</v>
      </c>
      <c r="BD158" s="93" t="s">
        <v>70</v>
      </c>
    </row>
    <row r="159" spans="1:56" s="69" customFormat="1" ht="48" x14ac:dyDescent="0.2">
      <c r="A159" s="246"/>
      <c r="B159" s="246"/>
      <c r="C159" s="248"/>
      <c r="D159" s="249"/>
      <c r="E159" s="255"/>
      <c r="F159" s="256"/>
      <c r="G159" s="255"/>
      <c r="H159" s="255"/>
      <c r="I159" s="257"/>
      <c r="J159" s="258"/>
      <c r="K159" s="83" t="s">
        <v>953</v>
      </c>
      <c r="L159" s="99">
        <v>25</v>
      </c>
      <c r="M159" s="83" t="s">
        <v>954</v>
      </c>
      <c r="N159" s="83" t="s">
        <v>57</v>
      </c>
      <c r="O159" s="83" t="s">
        <v>73</v>
      </c>
      <c r="P159" s="85">
        <v>70</v>
      </c>
      <c r="Q159" s="85">
        <v>70</v>
      </c>
      <c r="R159" s="85">
        <v>70</v>
      </c>
      <c r="S159" s="85">
        <v>70</v>
      </c>
      <c r="T159" s="85">
        <v>70</v>
      </c>
      <c r="U159" s="86"/>
      <c r="V159" s="87"/>
      <c r="W159" s="90"/>
      <c r="X159" s="90"/>
      <c r="Y159" s="90"/>
      <c r="Z159" s="90"/>
      <c r="AA159" s="237"/>
      <c r="AB159" s="237"/>
      <c r="AC159" s="237"/>
      <c r="AD159" s="237"/>
      <c r="AE159" s="237"/>
      <c r="AF159" s="237"/>
      <c r="AG159" s="237"/>
      <c r="AH159" s="237"/>
      <c r="AI159" s="237"/>
      <c r="AJ159" s="237"/>
      <c r="AK159" s="237"/>
      <c r="AL159" s="237"/>
      <c r="AM159" s="237">
        <f t="shared" si="41"/>
        <v>0</v>
      </c>
      <c r="AN159" s="237"/>
      <c r="AO159" s="237"/>
      <c r="AP159" s="238"/>
      <c r="AQ159" s="237">
        <f t="shared" si="39"/>
        <v>0</v>
      </c>
      <c r="AR159" s="237">
        <f t="shared" si="39"/>
        <v>0</v>
      </c>
      <c r="AS159" s="237">
        <f t="shared" si="39"/>
        <v>0</v>
      </c>
      <c r="AT159" s="237">
        <f t="shared" si="39"/>
        <v>0</v>
      </c>
      <c r="AU159" s="115" t="s">
        <v>61</v>
      </c>
      <c r="AV159" s="83" t="s">
        <v>886</v>
      </c>
      <c r="AW159" s="83" t="s">
        <v>945</v>
      </c>
      <c r="AX159" s="117" t="s">
        <v>209</v>
      </c>
      <c r="AY159" s="117" t="s">
        <v>65</v>
      </c>
      <c r="AZ159" s="117" t="s">
        <v>297</v>
      </c>
      <c r="BA159" s="234"/>
      <c r="BB159" s="93" t="s">
        <v>68</v>
      </c>
      <c r="BC159" s="93" t="s">
        <v>107</v>
      </c>
      <c r="BD159" s="93" t="s">
        <v>70</v>
      </c>
    </row>
    <row r="160" spans="1:56" s="69" customFormat="1" ht="48" x14ac:dyDescent="0.2">
      <c r="A160" s="246"/>
      <c r="B160" s="246"/>
      <c r="C160" s="248"/>
      <c r="D160" s="249"/>
      <c r="E160" s="255" t="s">
        <v>955</v>
      </c>
      <c r="F160" s="256">
        <f>+[5]Pond!AF115</f>
        <v>18</v>
      </c>
      <c r="G160" s="255" t="s">
        <v>846</v>
      </c>
      <c r="H160" s="255" t="s">
        <v>956</v>
      </c>
      <c r="I160" s="257" t="s">
        <v>957</v>
      </c>
      <c r="J160" s="258">
        <f>+[5]Pond!AF116</f>
        <v>22</v>
      </c>
      <c r="K160" s="83" t="s">
        <v>958</v>
      </c>
      <c r="L160" s="99">
        <v>50</v>
      </c>
      <c r="M160" s="83" t="s">
        <v>959</v>
      </c>
      <c r="N160" s="83" t="s">
        <v>57</v>
      </c>
      <c r="O160" s="119" t="s">
        <v>73</v>
      </c>
      <c r="P160" s="97">
        <v>100</v>
      </c>
      <c r="Q160" s="97">
        <v>100</v>
      </c>
      <c r="R160" s="97">
        <v>100</v>
      </c>
      <c r="S160" s="97">
        <v>100</v>
      </c>
      <c r="T160" s="97">
        <v>100</v>
      </c>
      <c r="U160" s="86" t="s">
        <v>960</v>
      </c>
      <c r="V160" s="87"/>
      <c r="W160" s="90"/>
      <c r="X160" s="90"/>
      <c r="Y160" s="90"/>
      <c r="Z160" s="90"/>
      <c r="AA160" s="237">
        <f>+'[5]Gastos por fuentes 2024'!D215</f>
        <v>65569232</v>
      </c>
      <c r="AB160" s="237"/>
      <c r="AC160" s="237"/>
      <c r="AD160" s="237">
        <f>SUM(AA160:AC160)</f>
        <v>65569232</v>
      </c>
      <c r="AE160" s="237">
        <f>+EVEN(AA160*3%+AA160)</f>
        <v>67536310</v>
      </c>
      <c r="AF160" s="237"/>
      <c r="AG160" s="237"/>
      <c r="AH160" s="237">
        <f>SUM(AE160:AG160)</f>
        <v>67536310</v>
      </c>
      <c r="AI160" s="237">
        <f>+EVEN(AE160*10%+AE160)</f>
        <v>74289942</v>
      </c>
      <c r="AJ160" s="237"/>
      <c r="AK160" s="237"/>
      <c r="AL160" s="237">
        <f>SUM(AI160:AK160)</f>
        <v>74289942</v>
      </c>
      <c r="AM160" s="237">
        <f>+EVEN(AI160*10%+AI160)+500000000</f>
        <v>581718938</v>
      </c>
      <c r="AN160" s="237"/>
      <c r="AO160" s="237"/>
      <c r="AP160" s="238">
        <f>SUM(AM160:AO160)</f>
        <v>581718938</v>
      </c>
      <c r="AQ160" s="237">
        <f t="shared" si="39"/>
        <v>789114422</v>
      </c>
      <c r="AR160" s="237">
        <f t="shared" si="39"/>
        <v>0</v>
      </c>
      <c r="AS160" s="237">
        <f t="shared" si="39"/>
        <v>0</v>
      </c>
      <c r="AT160" s="237">
        <f t="shared" si="39"/>
        <v>789114422</v>
      </c>
      <c r="AU160" s="115" t="s">
        <v>61</v>
      </c>
      <c r="AV160" s="83" t="s">
        <v>961</v>
      </c>
      <c r="AW160" s="83" t="s">
        <v>962</v>
      </c>
      <c r="AX160" s="117" t="s">
        <v>209</v>
      </c>
      <c r="AY160" s="117" t="s">
        <v>65</v>
      </c>
      <c r="AZ160" s="117" t="s">
        <v>297</v>
      </c>
      <c r="BA160" s="234"/>
      <c r="BB160" s="93" t="s">
        <v>68</v>
      </c>
      <c r="BC160" s="93" t="s">
        <v>107</v>
      </c>
      <c r="BD160" s="93" t="s">
        <v>70</v>
      </c>
    </row>
    <row r="161" spans="1:56" s="69" customFormat="1" ht="48" x14ac:dyDescent="0.2">
      <c r="A161" s="246"/>
      <c r="B161" s="246"/>
      <c r="C161" s="248"/>
      <c r="D161" s="249"/>
      <c r="E161" s="255"/>
      <c r="F161" s="256"/>
      <c r="G161" s="255"/>
      <c r="H161" s="255"/>
      <c r="I161" s="257"/>
      <c r="J161" s="258"/>
      <c r="K161" s="83" t="s">
        <v>963</v>
      </c>
      <c r="L161" s="99">
        <v>50</v>
      </c>
      <c r="M161" s="83" t="s">
        <v>964</v>
      </c>
      <c r="N161" s="83" t="s">
        <v>57</v>
      </c>
      <c r="O161" s="119" t="s">
        <v>58</v>
      </c>
      <c r="P161" s="97"/>
      <c r="Q161" s="97"/>
      <c r="R161" s="97"/>
      <c r="S161" s="97">
        <v>1</v>
      </c>
      <c r="T161" s="97">
        <v>1</v>
      </c>
      <c r="U161" s="86" t="s">
        <v>965</v>
      </c>
      <c r="V161" s="87"/>
      <c r="W161" s="90"/>
      <c r="X161" s="90"/>
      <c r="Y161" s="90"/>
      <c r="Z161" s="90"/>
      <c r="AA161" s="237"/>
      <c r="AB161" s="237"/>
      <c r="AC161" s="237"/>
      <c r="AD161" s="237"/>
      <c r="AE161" s="237"/>
      <c r="AF161" s="237"/>
      <c r="AG161" s="237"/>
      <c r="AH161" s="237"/>
      <c r="AI161" s="237"/>
      <c r="AJ161" s="237"/>
      <c r="AK161" s="237"/>
      <c r="AL161" s="237"/>
      <c r="AM161" s="237">
        <f t="shared" si="41"/>
        <v>0</v>
      </c>
      <c r="AN161" s="237"/>
      <c r="AO161" s="237"/>
      <c r="AP161" s="238"/>
      <c r="AQ161" s="237">
        <f t="shared" si="39"/>
        <v>0</v>
      </c>
      <c r="AR161" s="237">
        <f t="shared" si="39"/>
        <v>0</v>
      </c>
      <c r="AS161" s="237">
        <f t="shared" si="39"/>
        <v>0</v>
      </c>
      <c r="AT161" s="237">
        <f t="shared" si="39"/>
        <v>0</v>
      </c>
      <c r="AU161" s="115" t="s">
        <v>61</v>
      </c>
      <c r="AV161" s="83" t="s">
        <v>966</v>
      </c>
      <c r="AW161" s="83" t="s">
        <v>967</v>
      </c>
      <c r="AX161" s="117" t="s">
        <v>209</v>
      </c>
      <c r="AY161" s="117" t="s">
        <v>127</v>
      </c>
      <c r="AZ161" s="117" t="s">
        <v>128</v>
      </c>
      <c r="BA161" s="234"/>
      <c r="BB161" s="93" t="s">
        <v>68</v>
      </c>
      <c r="BC161" s="93" t="s">
        <v>107</v>
      </c>
      <c r="BD161" s="93" t="s">
        <v>70</v>
      </c>
    </row>
    <row r="162" spans="1:56" s="69" customFormat="1" ht="55.2" x14ac:dyDescent="0.2">
      <c r="A162" s="246"/>
      <c r="B162" s="246"/>
      <c r="C162" s="248"/>
      <c r="D162" s="249"/>
      <c r="E162" s="255"/>
      <c r="F162" s="256"/>
      <c r="G162" s="255"/>
      <c r="H162" s="110" t="s">
        <v>968</v>
      </c>
      <c r="I162" s="86" t="s">
        <v>969</v>
      </c>
      <c r="J162" s="85">
        <f>+[5]Pond!AF117</f>
        <v>13</v>
      </c>
      <c r="K162" s="94" t="s">
        <v>970</v>
      </c>
      <c r="L162" s="85">
        <v>100</v>
      </c>
      <c r="M162" s="94" t="s">
        <v>971</v>
      </c>
      <c r="N162" s="83" t="s">
        <v>57</v>
      </c>
      <c r="O162" s="119" t="s">
        <v>58</v>
      </c>
      <c r="P162" s="97">
        <v>1</v>
      </c>
      <c r="Q162" s="97">
        <v>1</v>
      </c>
      <c r="R162" s="97">
        <v>1</v>
      </c>
      <c r="S162" s="97">
        <v>1</v>
      </c>
      <c r="T162" s="97">
        <v>1</v>
      </c>
      <c r="U162" s="86"/>
      <c r="V162" s="87"/>
      <c r="W162" s="90"/>
      <c r="X162" s="90"/>
      <c r="Y162" s="90"/>
      <c r="Z162" s="90"/>
      <c r="AA162" s="115">
        <f>+'[5]Gastos por fuentes 2024'!D216</f>
        <v>16939488</v>
      </c>
      <c r="AB162" s="115"/>
      <c r="AC162" s="115"/>
      <c r="AD162" s="115">
        <f>SUM(AA162:AC162)</f>
        <v>16939488</v>
      </c>
      <c r="AE162" s="115">
        <f>+EVEN(AA162*3%+AA162)</f>
        <v>17447674</v>
      </c>
      <c r="AF162" s="115"/>
      <c r="AG162" s="115"/>
      <c r="AH162" s="115">
        <f>SUM(AE162:AG162)</f>
        <v>17447674</v>
      </c>
      <c r="AI162" s="115">
        <f>+EVEN(AE162*10%+AE162)</f>
        <v>19192442</v>
      </c>
      <c r="AJ162" s="115"/>
      <c r="AK162" s="115"/>
      <c r="AL162" s="115">
        <f>SUM(AI162:AK162)</f>
        <v>19192442</v>
      </c>
      <c r="AM162" s="115">
        <f>+EVEN(AI162*10%+AI162)</f>
        <v>21111688</v>
      </c>
      <c r="AN162" s="115"/>
      <c r="AO162" s="115"/>
      <c r="AP162" s="116">
        <f>SUM(AM162:AO162)</f>
        <v>21111688</v>
      </c>
      <c r="AQ162" s="115">
        <f t="shared" si="39"/>
        <v>74691292</v>
      </c>
      <c r="AR162" s="115">
        <f t="shared" si="39"/>
        <v>0</v>
      </c>
      <c r="AS162" s="115">
        <f t="shared" si="39"/>
        <v>0</v>
      </c>
      <c r="AT162" s="115">
        <f t="shared" si="39"/>
        <v>74691292</v>
      </c>
      <c r="AU162" s="115" t="s">
        <v>61</v>
      </c>
      <c r="AV162" s="94" t="s">
        <v>922</v>
      </c>
      <c r="AW162" s="94" t="s">
        <v>972</v>
      </c>
      <c r="AX162" s="117" t="s">
        <v>209</v>
      </c>
      <c r="AY162" s="117" t="s">
        <v>65</v>
      </c>
      <c r="AZ162" s="117" t="s">
        <v>297</v>
      </c>
      <c r="BA162" s="117"/>
      <c r="BB162" s="93" t="s">
        <v>68</v>
      </c>
      <c r="BC162" s="93" t="s">
        <v>107</v>
      </c>
      <c r="BD162" s="93" t="s">
        <v>70</v>
      </c>
    </row>
    <row r="163" spans="1:56" s="69" customFormat="1" ht="63" x14ac:dyDescent="0.2">
      <c r="A163" s="246"/>
      <c r="B163" s="246"/>
      <c r="C163" s="248"/>
      <c r="D163" s="249"/>
      <c r="E163" s="255"/>
      <c r="F163" s="256"/>
      <c r="G163" s="255"/>
      <c r="H163" s="110" t="s">
        <v>973</v>
      </c>
      <c r="I163" s="98" t="s">
        <v>974</v>
      </c>
      <c r="J163" s="99">
        <f>+[5]Pond!AF118</f>
        <v>20</v>
      </c>
      <c r="K163" s="83" t="s">
        <v>975</v>
      </c>
      <c r="L163" s="99">
        <v>100</v>
      </c>
      <c r="M163" s="83" t="s">
        <v>976</v>
      </c>
      <c r="N163" s="83" t="s">
        <v>57</v>
      </c>
      <c r="O163" s="119" t="s">
        <v>58</v>
      </c>
      <c r="P163" s="97">
        <v>1</v>
      </c>
      <c r="Q163" s="97">
        <v>1</v>
      </c>
      <c r="R163" s="97">
        <v>1</v>
      </c>
      <c r="S163" s="97">
        <v>1</v>
      </c>
      <c r="T163" s="97">
        <v>1</v>
      </c>
      <c r="U163" s="86"/>
      <c r="V163" s="87"/>
      <c r="W163" s="90"/>
      <c r="X163" s="90"/>
      <c r="Y163" s="90"/>
      <c r="Z163" s="90"/>
      <c r="AA163" s="115">
        <f>+'[5]Gastos por fuentes 2024'!D217</f>
        <v>145964286</v>
      </c>
      <c r="AB163" s="115"/>
      <c r="AC163" s="115"/>
      <c r="AD163" s="115">
        <f>SUM(AA163:AC163)</f>
        <v>145964286</v>
      </c>
      <c r="AE163" s="115">
        <f>+EVEN(AA163*3%+AA163)</f>
        <v>150343216</v>
      </c>
      <c r="AF163" s="115"/>
      <c r="AG163" s="115"/>
      <c r="AH163" s="115">
        <f>SUM(AE163:AG163)</f>
        <v>150343216</v>
      </c>
      <c r="AI163" s="115">
        <f>+EVEN(AE163*10%+AE163)</f>
        <v>165377538</v>
      </c>
      <c r="AJ163" s="115"/>
      <c r="AK163" s="115"/>
      <c r="AL163" s="115">
        <f>SUM(AI163:AK163)</f>
        <v>165377538</v>
      </c>
      <c r="AM163" s="115">
        <f>+EVEN(AI163*10%+AI163)</f>
        <v>181915292</v>
      </c>
      <c r="AN163" s="115"/>
      <c r="AO163" s="115"/>
      <c r="AP163" s="116">
        <f>SUM(AM163:AO163)</f>
        <v>181915292</v>
      </c>
      <c r="AQ163" s="115">
        <f t="shared" si="39"/>
        <v>643600332</v>
      </c>
      <c r="AR163" s="115">
        <f t="shared" si="39"/>
        <v>0</v>
      </c>
      <c r="AS163" s="115">
        <f t="shared" si="39"/>
        <v>0</v>
      </c>
      <c r="AT163" s="115">
        <f t="shared" si="39"/>
        <v>643600332</v>
      </c>
      <c r="AU163" s="115" t="s">
        <v>61</v>
      </c>
      <c r="AV163" s="83" t="s">
        <v>85</v>
      </c>
      <c r="AW163" s="83" t="s">
        <v>85</v>
      </c>
      <c r="AX163" s="117" t="s">
        <v>209</v>
      </c>
      <c r="AY163" s="117" t="s">
        <v>65</v>
      </c>
      <c r="AZ163" s="117" t="s">
        <v>297</v>
      </c>
      <c r="BA163" s="117"/>
      <c r="BB163" s="93" t="s">
        <v>68</v>
      </c>
      <c r="BC163" s="93" t="s">
        <v>107</v>
      </c>
      <c r="BD163" s="93" t="s">
        <v>70</v>
      </c>
    </row>
    <row r="164" spans="1:56" s="69" customFormat="1" ht="63" x14ac:dyDescent="0.2">
      <c r="A164" s="246"/>
      <c r="B164" s="246"/>
      <c r="C164" s="248"/>
      <c r="D164" s="249"/>
      <c r="E164" s="255"/>
      <c r="F164" s="256"/>
      <c r="G164" s="255"/>
      <c r="H164" s="110" t="s">
        <v>973</v>
      </c>
      <c r="I164" s="98" t="s">
        <v>977</v>
      </c>
      <c r="J164" s="99">
        <f>+[5]Pond!AF119</f>
        <v>14</v>
      </c>
      <c r="K164" s="83" t="s">
        <v>978</v>
      </c>
      <c r="L164" s="99">
        <v>100</v>
      </c>
      <c r="M164" s="83" t="s">
        <v>979</v>
      </c>
      <c r="N164" s="83" t="s">
        <v>57</v>
      </c>
      <c r="O164" s="119" t="s">
        <v>58</v>
      </c>
      <c r="P164" s="97">
        <v>1</v>
      </c>
      <c r="Q164" s="97">
        <v>1</v>
      </c>
      <c r="R164" s="97">
        <v>1</v>
      </c>
      <c r="S164" s="97">
        <v>2</v>
      </c>
      <c r="T164" s="97">
        <f t="shared" ref="T164:T171" si="43">SUM(P164:S164)</f>
        <v>5</v>
      </c>
      <c r="U164" s="86" t="s">
        <v>980</v>
      </c>
      <c r="V164" s="87"/>
      <c r="W164" s="90"/>
      <c r="X164" s="90"/>
      <c r="Y164" s="90"/>
      <c r="Z164" s="90"/>
      <c r="AA164" s="130">
        <f>+'[5]Gastos por fuentes 2024'!D218</f>
        <v>132829200</v>
      </c>
      <c r="AB164" s="130"/>
      <c r="AC164" s="130"/>
      <c r="AD164" s="130">
        <f>SUM(AA164:AC164)</f>
        <v>132829200</v>
      </c>
      <c r="AE164" s="130">
        <f>+EVEN(AA164*3%+AA164)</f>
        <v>136814076</v>
      </c>
      <c r="AF164" s="130"/>
      <c r="AG164" s="130"/>
      <c r="AH164" s="130">
        <f>SUM(AE164:AG164)</f>
        <v>136814076</v>
      </c>
      <c r="AI164" s="115">
        <f>+EVEN(AE164*10%+AE164)</f>
        <v>150495484</v>
      </c>
      <c r="AJ164" s="130"/>
      <c r="AK164" s="130"/>
      <c r="AL164" s="130">
        <f>SUM(AI164:AK164)</f>
        <v>150495484</v>
      </c>
      <c r="AM164" s="115">
        <f>+EVEN(AI164*10%+AI164)</f>
        <v>165545034</v>
      </c>
      <c r="AN164" s="130"/>
      <c r="AO164" s="130"/>
      <c r="AP164" s="131">
        <f>SUM(AM164:AO164)</f>
        <v>165545034</v>
      </c>
      <c r="AQ164" s="130">
        <f t="shared" si="39"/>
        <v>585683794</v>
      </c>
      <c r="AR164" s="130">
        <f t="shared" si="39"/>
        <v>0</v>
      </c>
      <c r="AS164" s="130">
        <f t="shared" si="39"/>
        <v>0</v>
      </c>
      <c r="AT164" s="130">
        <f t="shared" si="39"/>
        <v>585683794</v>
      </c>
      <c r="AU164" s="130" t="s">
        <v>61</v>
      </c>
      <c r="AV164" s="83" t="s">
        <v>886</v>
      </c>
      <c r="AW164" s="83" t="s">
        <v>887</v>
      </c>
      <c r="AX164" s="117" t="s">
        <v>209</v>
      </c>
      <c r="AY164" s="117" t="s">
        <v>65</v>
      </c>
      <c r="AZ164" s="117" t="s">
        <v>297</v>
      </c>
      <c r="BA164" s="96"/>
      <c r="BB164" s="93" t="s">
        <v>68</v>
      </c>
      <c r="BC164" s="93" t="s">
        <v>107</v>
      </c>
      <c r="BD164" s="93" t="s">
        <v>70</v>
      </c>
    </row>
    <row r="165" spans="1:56" s="69" customFormat="1" ht="48" x14ac:dyDescent="0.2">
      <c r="A165" s="246"/>
      <c r="B165" s="246"/>
      <c r="C165" s="248"/>
      <c r="D165" s="249"/>
      <c r="E165" s="255"/>
      <c r="F165" s="256"/>
      <c r="G165" s="255"/>
      <c r="H165" s="265" t="s">
        <v>981</v>
      </c>
      <c r="I165" s="257" t="s">
        <v>982</v>
      </c>
      <c r="J165" s="258">
        <f>+[5]Pond!AF120</f>
        <v>16</v>
      </c>
      <c r="K165" s="83" t="s">
        <v>983</v>
      </c>
      <c r="L165" s="99">
        <v>15</v>
      </c>
      <c r="M165" s="83" t="s">
        <v>984</v>
      </c>
      <c r="N165" s="83" t="s">
        <v>57</v>
      </c>
      <c r="O165" s="119" t="s">
        <v>73</v>
      </c>
      <c r="P165" s="97">
        <v>50</v>
      </c>
      <c r="Q165" s="97">
        <v>50</v>
      </c>
      <c r="R165" s="97"/>
      <c r="S165" s="97"/>
      <c r="T165" s="97">
        <f t="shared" si="43"/>
        <v>100</v>
      </c>
      <c r="U165" s="86"/>
      <c r="V165" s="87"/>
      <c r="W165" s="90"/>
      <c r="X165" s="90"/>
      <c r="Y165" s="90"/>
      <c r="Z165" s="90"/>
      <c r="AA165" s="130"/>
      <c r="AB165" s="130"/>
      <c r="AC165" s="130"/>
      <c r="AD165" s="130"/>
      <c r="AE165" s="130"/>
      <c r="AF165" s="130"/>
      <c r="AG165" s="130"/>
      <c r="AH165" s="130"/>
      <c r="AI165" s="115"/>
      <c r="AJ165" s="130"/>
      <c r="AK165" s="130"/>
      <c r="AL165" s="130"/>
      <c r="AM165" s="115"/>
      <c r="AN165" s="130"/>
      <c r="AO165" s="130"/>
      <c r="AP165" s="131"/>
      <c r="AQ165" s="130"/>
      <c r="AR165" s="130"/>
      <c r="AS165" s="130"/>
      <c r="AT165" s="130"/>
      <c r="AU165" s="130" t="s">
        <v>61</v>
      </c>
      <c r="AV165" s="83" t="s">
        <v>869</v>
      </c>
      <c r="AW165" s="83" t="s">
        <v>985</v>
      </c>
      <c r="AX165" s="117" t="s">
        <v>209</v>
      </c>
      <c r="AY165" s="117" t="s">
        <v>65</v>
      </c>
      <c r="AZ165" s="117" t="s">
        <v>297</v>
      </c>
      <c r="BA165" s="268"/>
      <c r="BB165" s="93" t="s">
        <v>68</v>
      </c>
      <c r="BC165" s="93" t="s">
        <v>107</v>
      </c>
      <c r="BD165" s="93" t="s">
        <v>70</v>
      </c>
    </row>
    <row r="166" spans="1:56" s="69" customFormat="1" ht="48" x14ac:dyDescent="0.2">
      <c r="A166" s="246"/>
      <c r="B166" s="246"/>
      <c r="C166" s="248"/>
      <c r="D166" s="249"/>
      <c r="E166" s="255"/>
      <c r="F166" s="256"/>
      <c r="G166" s="255"/>
      <c r="H166" s="266"/>
      <c r="I166" s="257"/>
      <c r="J166" s="258"/>
      <c r="K166" s="83" t="s">
        <v>986</v>
      </c>
      <c r="L166" s="99">
        <v>15</v>
      </c>
      <c r="M166" s="83" t="s">
        <v>987</v>
      </c>
      <c r="N166" s="83" t="s">
        <v>57</v>
      </c>
      <c r="O166" s="119" t="s">
        <v>58</v>
      </c>
      <c r="P166" s="97">
        <v>1</v>
      </c>
      <c r="Q166" s="85">
        <v>1</v>
      </c>
      <c r="R166" s="97">
        <v>1</v>
      </c>
      <c r="S166" s="85">
        <v>1</v>
      </c>
      <c r="T166" s="85">
        <f t="shared" si="43"/>
        <v>4</v>
      </c>
      <c r="U166" s="86"/>
      <c r="V166" s="87"/>
      <c r="W166" s="90"/>
      <c r="X166" s="90"/>
      <c r="Y166" s="90"/>
      <c r="Z166" s="90"/>
      <c r="AA166" s="262">
        <f>+'[5]Gastos por fuentes 2024'!D219</f>
        <v>114280000</v>
      </c>
      <c r="AB166" s="262"/>
      <c r="AC166" s="262"/>
      <c r="AD166" s="262">
        <f>SUM(AA166:AC166)</f>
        <v>114280000</v>
      </c>
      <c r="AE166" s="262">
        <f>+EVEN(AA166*3%+AA166)+50000000</f>
        <v>167708400</v>
      </c>
      <c r="AF166" s="262"/>
      <c r="AG166" s="262"/>
      <c r="AH166" s="262">
        <f>SUM(AE166:AG166)</f>
        <v>167708400</v>
      </c>
      <c r="AI166" s="237">
        <f>+EVEN(AE166*10%+AE166)</f>
        <v>184479240</v>
      </c>
      <c r="AJ166" s="262"/>
      <c r="AK166" s="262"/>
      <c r="AL166" s="262">
        <f>SUM(AI166:AK166)</f>
        <v>184479240</v>
      </c>
      <c r="AM166" s="237">
        <f>+EVEN(AI166*10%+AI166)+100000000</f>
        <v>302927164</v>
      </c>
      <c r="AN166" s="262"/>
      <c r="AO166" s="262"/>
      <c r="AP166" s="271">
        <f>SUM(AM166:AO166)</f>
        <v>302927164</v>
      </c>
      <c r="AQ166" s="262">
        <f t="shared" si="39"/>
        <v>769394804</v>
      </c>
      <c r="AR166" s="262">
        <f t="shared" si="39"/>
        <v>0</v>
      </c>
      <c r="AS166" s="262">
        <f t="shared" si="39"/>
        <v>0</v>
      </c>
      <c r="AT166" s="262">
        <f t="shared" si="39"/>
        <v>769394804</v>
      </c>
      <c r="AU166" s="130" t="s">
        <v>61</v>
      </c>
      <c r="AV166" s="83" t="s">
        <v>869</v>
      </c>
      <c r="AW166" s="83" t="s">
        <v>985</v>
      </c>
      <c r="AX166" s="117" t="s">
        <v>209</v>
      </c>
      <c r="AY166" s="117" t="s">
        <v>65</v>
      </c>
      <c r="AZ166" s="117" t="s">
        <v>297</v>
      </c>
      <c r="BA166" s="269"/>
      <c r="BB166" s="93" t="s">
        <v>68</v>
      </c>
      <c r="BC166" s="93" t="s">
        <v>107</v>
      </c>
      <c r="BD166" s="93" t="s">
        <v>70</v>
      </c>
    </row>
    <row r="167" spans="1:56" s="69" customFormat="1" ht="48" x14ac:dyDescent="0.2">
      <c r="A167" s="246"/>
      <c r="B167" s="246"/>
      <c r="C167" s="248"/>
      <c r="D167" s="249"/>
      <c r="E167" s="255"/>
      <c r="F167" s="256"/>
      <c r="G167" s="255"/>
      <c r="H167" s="266"/>
      <c r="I167" s="257"/>
      <c r="J167" s="258"/>
      <c r="K167" s="83" t="s">
        <v>988</v>
      </c>
      <c r="L167" s="99">
        <v>15</v>
      </c>
      <c r="M167" s="83" t="s">
        <v>989</v>
      </c>
      <c r="N167" s="83" t="s">
        <v>57</v>
      </c>
      <c r="O167" s="119" t="s">
        <v>73</v>
      </c>
      <c r="P167" s="97"/>
      <c r="Q167" s="85">
        <v>50</v>
      </c>
      <c r="R167" s="85">
        <v>50</v>
      </c>
      <c r="S167" s="85"/>
      <c r="T167" s="85">
        <f t="shared" si="43"/>
        <v>100</v>
      </c>
      <c r="U167" s="86"/>
      <c r="V167" s="87"/>
      <c r="W167" s="90"/>
      <c r="X167" s="90"/>
      <c r="Y167" s="90"/>
      <c r="Z167" s="90"/>
      <c r="AA167" s="262"/>
      <c r="AB167" s="262"/>
      <c r="AC167" s="262"/>
      <c r="AD167" s="262"/>
      <c r="AE167" s="262"/>
      <c r="AF167" s="262"/>
      <c r="AG167" s="262"/>
      <c r="AH167" s="262"/>
      <c r="AI167" s="237">
        <f t="shared" ref="AI167:AI174" si="44">+EVEN(AE167*6%+AE167)</f>
        <v>0</v>
      </c>
      <c r="AJ167" s="262"/>
      <c r="AK167" s="262"/>
      <c r="AL167" s="262"/>
      <c r="AM167" s="237">
        <f t="shared" si="41"/>
        <v>0</v>
      </c>
      <c r="AN167" s="262"/>
      <c r="AO167" s="262"/>
      <c r="AP167" s="271"/>
      <c r="AQ167" s="262">
        <f t="shared" si="39"/>
        <v>0</v>
      </c>
      <c r="AR167" s="262">
        <f t="shared" si="39"/>
        <v>0</v>
      </c>
      <c r="AS167" s="262">
        <f t="shared" si="39"/>
        <v>0</v>
      </c>
      <c r="AT167" s="262">
        <f t="shared" si="39"/>
        <v>0</v>
      </c>
      <c r="AU167" s="130" t="s">
        <v>61</v>
      </c>
      <c r="AV167" s="83" t="s">
        <v>869</v>
      </c>
      <c r="AW167" s="83" t="s">
        <v>990</v>
      </c>
      <c r="AX167" s="117" t="s">
        <v>209</v>
      </c>
      <c r="AY167" s="117" t="s">
        <v>65</v>
      </c>
      <c r="AZ167" s="117" t="s">
        <v>297</v>
      </c>
      <c r="BA167" s="269"/>
      <c r="BB167" s="93" t="s">
        <v>68</v>
      </c>
      <c r="BC167" s="93" t="s">
        <v>107</v>
      </c>
      <c r="BD167" s="93" t="s">
        <v>70</v>
      </c>
    </row>
    <row r="168" spans="1:56" s="69" customFormat="1" ht="48" x14ac:dyDescent="0.2">
      <c r="A168" s="246"/>
      <c r="B168" s="246"/>
      <c r="C168" s="248"/>
      <c r="D168" s="249"/>
      <c r="E168" s="255"/>
      <c r="F168" s="256"/>
      <c r="G168" s="255"/>
      <c r="H168" s="266"/>
      <c r="I168" s="257"/>
      <c r="J168" s="258"/>
      <c r="K168" s="83" t="s">
        <v>991</v>
      </c>
      <c r="L168" s="99">
        <v>15</v>
      </c>
      <c r="M168" s="83" t="s">
        <v>992</v>
      </c>
      <c r="N168" s="83" t="s">
        <v>57</v>
      </c>
      <c r="O168" s="119" t="s">
        <v>104</v>
      </c>
      <c r="P168" s="97">
        <v>4</v>
      </c>
      <c r="Q168" s="85">
        <v>4</v>
      </c>
      <c r="R168" s="85"/>
      <c r="S168" s="85"/>
      <c r="T168" s="85">
        <f t="shared" si="43"/>
        <v>8</v>
      </c>
      <c r="U168" s="86"/>
      <c r="V168" s="87"/>
      <c r="W168" s="90"/>
      <c r="X168" s="90"/>
      <c r="Y168" s="90"/>
      <c r="Z168" s="90"/>
      <c r="AA168" s="262"/>
      <c r="AB168" s="262"/>
      <c r="AC168" s="262"/>
      <c r="AD168" s="262"/>
      <c r="AE168" s="262"/>
      <c r="AF168" s="262"/>
      <c r="AG168" s="262"/>
      <c r="AH168" s="262"/>
      <c r="AI168" s="237">
        <f t="shared" si="44"/>
        <v>0</v>
      </c>
      <c r="AJ168" s="262"/>
      <c r="AK168" s="262"/>
      <c r="AL168" s="262"/>
      <c r="AM168" s="237">
        <f t="shared" si="41"/>
        <v>0</v>
      </c>
      <c r="AN168" s="262"/>
      <c r="AO168" s="262"/>
      <c r="AP168" s="271"/>
      <c r="AQ168" s="262">
        <f t="shared" si="39"/>
        <v>0</v>
      </c>
      <c r="AR168" s="262">
        <f t="shared" si="39"/>
        <v>0</v>
      </c>
      <c r="AS168" s="262">
        <f t="shared" si="39"/>
        <v>0</v>
      </c>
      <c r="AT168" s="262">
        <f t="shared" si="39"/>
        <v>0</v>
      </c>
      <c r="AU168" s="130" t="s">
        <v>61</v>
      </c>
      <c r="AV168" s="83" t="s">
        <v>869</v>
      </c>
      <c r="AW168" s="83" t="s">
        <v>870</v>
      </c>
      <c r="AX168" s="117" t="s">
        <v>209</v>
      </c>
      <c r="AY168" s="117" t="s">
        <v>65</v>
      </c>
      <c r="AZ168" s="117" t="s">
        <v>297</v>
      </c>
      <c r="BA168" s="269"/>
      <c r="BB168" s="93" t="s">
        <v>68</v>
      </c>
      <c r="BC168" s="93" t="s">
        <v>107</v>
      </c>
      <c r="BD168" s="93" t="s">
        <v>70</v>
      </c>
    </row>
    <row r="169" spans="1:56" s="69" customFormat="1" ht="48" x14ac:dyDescent="0.2">
      <c r="A169" s="246"/>
      <c r="B169" s="246"/>
      <c r="C169" s="248"/>
      <c r="D169" s="249"/>
      <c r="E169" s="255"/>
      <c r="F169" s="256"/>
      <c r="G169" s="255"/>
      <c r="H169" s="266"/>
      <c r="I169" s="257"/>
      <c r="J169" s="258"/>
      <c r="K169" s="83" t="s">
        <v>993</v>
      </c>
      <c r="L169" s="99">
        <v>15</v>
      </c>
      <c r="M169" s="83" t="s">
        <v>994</v>
      </c>
      <c r="N169" s="83" t="s">
        <v>57</v>
      </c>
      <c r="O169" s="119" t="s">
        <v>73</v>
      </c>
      <c r="P169" s="97">
        <v>50</v>
      </c>
      <c r="Q169" s="85">
        <v>50</v>
      </c>
      <c r="R169" s="85"/>
      <c r="S169" s="85"/>
      <c r="T169" s="85">
        <f t="shared" si="43"/>
        <v>100</v>
      </c>
      <c r="U169" s="86"/>
      <c r="V169" s="87"/>
      <c r="W169" s="90"/>
      <c r="X169" s="90"/>
      <c r="Y169" s="90"/>
      <c r="Z169" s="90"/>
      <c r="AA169" s="262"/>
      <c r="AB169" s="262"/>
      <c r="AC169" s="262"/>
      <c r="AD169" s="262"/>
      <c r="AE169" s="262"/>
      <c r="AF169" s="262"/>
      <c r="AG169" s="262"/>
      <c r="AH169" s="262"/>
      <c r="AI169" s="237">
        <f t="shared" si="44"/>
        <v>0</v>
      </c>
      <c r="AJ169" s="262"/>
      <c r="AK169" s="262"/>
      <c r="AL169" s="262"/>
      <c r="AM169" s="237">
        <f t="shared" si="41"/>
        <v>0</v>
      </c>
      <c r="AN169" s="262"/>
      <c r="AO169" s="262"/>
      <c r="AP169" s="271"/>
      <c r="AQ169" s="262">
        <f t="shared" si="39"/>
        <v>0</v>
      </c>
      <c r="AR169" s="262">
        <f t="shared" si="39"/>
        <v>0</v>
      </c>
      <c r="AS169" s="262">
        <f t="shared" si="39"/>
        <v>0</v>
      </c>
      <c r="AT169" s="262">
        <f t="shared" si="39"/>
        <v>0</v>
      </c>
      <c r="AU169" s="130" t="s">
        <v>61</v>
      </c>
      <c r="AV169" s="83" t="s">
        <v>869</v>
      </c>
      <c r="AW169" s="83" t="s">
        <v>990</v>
      </c>
      <c r="AX169" s="117" t="s">
        <v>209</v>
      </c>
      <c r="AY169" s="117" t="s">
        <v>65</v>
      </c>
      <c r="AZ169" s="117" t="s">
        <v>297</v>
      </c>
      <c r="BA169" s="269"/>
      <c r="BB169" s="93" t="s">
        <v>68</v>
      </c>
      <c r="BC169" s="93" t="s">
        <v>107</v>
      </c>
      <c r="BD169" s="93" t="s">
        <v>70</v>
      </c>
    </row>
    <row r="170" spans="1:56" s="69" customFormat="1" ht="48" x14ac:dyDescent="0.2">
      <c r="A170" s="246"/>
      <c r="B170" s="246"/>
      <c r="C170" s="248"/>
      <c r="D170" s="249"/>
      <c r="E170" s="255"/>
      <c r="F170" s="256"/>
      <c r="G170" s="255"/>
      <c r="H170" s="266"/>
      <c r="I170" s="257"/>
      <c r="J170" s="258"/>
      <c r="K170" s="83" t="s">
        <v>995</v>
      </c>
      <c r="L170" s="99">
        <v>15</v>
      </c>
      <c r="M170" s="83" t="s">
        <v>996</v>
      </c>
      <c r="N170" s="83" t="s">
        <v>57</v>
      </c>
      <c r="O170" s="119" t="s">
        <v>73</v>
      </c>
      <c r="P170" s="97"/>
      <c r="Q170" s="85">
        <v>50</v>
      </c>
      <c r="R170" s="85">
        <v>50</v>
      </c>
      <c r="S170" s="85"/>
      <c r="T170" s="85">
        <f t="shared" si="43"/>
        <v>100</v>
      </c>
      <c r="U170" s="86"/>
      <c r="V170" s="87"/>
      <c r="W170" s="90"/>
      <c r="X170" s="90"/>
      <c r="Y170" s="90"/>
      <c r="Z170" s="90"/>
      <c r="AA170" s="262"/>
      <c r="AB170" s="262"/>
      <c r="AC170" s="262"/>
      <c r="AD170" s="262"/>
      <c r="AE170" s="262"/>
      <c r="AF170" s="262"/>
      <c r="AG170" s="262"/>
      <c r="AH170" s="262"/>
      <c r="AI170" s="237">
        <f t="shared" si="44"/>
        <v>0</v>
      </c>
      <c r="AJ170" s="262"/>
      <c r="AK170" s="262"/>
      <c r="AL170" s="262"/>
      <c r="AM170" s="237">
        <f t="shared" si="41"/>
        <v>0</v>
      </c>
      <c r="AN170" s="262"/>
      <c r="AO170" s="262"/>
      <c r="AP170" s="271"/>
      <c r="AQ170" s="262">
        <f t="shared" si="39"/>
        <v>0</v>
      </c>
      <c r="AR170" s="262">
        <f t="shared" si="39"/>
        <v>0</v>
      </c>
      <c r="AS170" s="262">
        <f t="shared" si="39"/>
        <v>0</v>
      </c>
      <c r="AT170" s="262">
        <f t="shared" si="39"/>
        <v>0</v>
      </c>
      <c r="AU170" s="130" t="s">
        <v>61</v>
      </c>
      <c r="AV170" s="83" t="s">
        <v>869</v>
      </c>
      <c r="AW170" s="83" t="s">
        <v>997</v>
      </c>
      <c r="AX170" s="117" t="s">
        <v>209</v>
      </c>
      <c r="AY170" s="117" t="s">
        <v>65</v>
      </c>
      <c r="AZ170" s="117" t="s">
        <v>297</v>
      </c>
      <c r="BA170" s="269"/>
      <c r="BB170" s="93" t="s">
        <v>68</v>
      </c>
      <c r="BC170" s="93" t="s">
        <v>107</v>
      </c>
      <c r="BD170" s="93" t="s">
        <v>70</v>
      </c>
    </row>
    <row r="171" spans="1:56" s="69" customFormat="1" ht="48" x14ac:dyDescent="0.2">
      <c r="A171" s="246"/>
      <c r="B171" s="246"/>
      <c r="C171" s="248"/>
      <c r="D171" s="249"/>
      <c r="E171" s="255"/>
      <c r="F171" s="256"/>
      <c r="G171" s="255"/>
      <c r="H171" s="266"/>
      <c r="I171" s="257"/>
      <c r="J171" s="258"/>
      <c r="K171" s="83" t="s">
        <v>998</v>
      </c>
      <c r="L171" s="99">
        <v>10</v>
      </c>
      <c r="M171" s="83" t="s">
        <v>999</v>
      </c>
      <c r="N171" s="83" t="s">
        <v>57</v>
      </c>
      <c r="O171" s="119" t="s">
        <v>58</v>
      </c>
      <c r="P171" s="124"/>
      <c r="Q171" s="124"/>
      <c r="R171" s="85"/>
      <c r="S171" s="85">
        <v>1</v>
      </c>
      <c r="T171" s="85">
        <f t="shared" si="43"/>
        <v>1</v>
      </c>
      <c r="U171" s="104"/>
      <c r="V171" s="125"/>
      <c r="W171" s="90"/>
      <c r="X171" s="90"/>
      <c r="Y171" s="90"/>
      <c r="Z171" s="90"/>
      <c r="AA171" s="262"/>
      <c r="AB171" s="262"/>
      <c r="AC171" s="262"/>
      <c r="AD171" s="262"/>
      <c r="AE171" s="262"/>
      <c r="AF171" s="262"/>
      <c r="AG171" s="262"/>
      <c r="AH171" s="262"/>
      <c r="AI171" s="237">
        <f t="shared" si="44"/>
        <v>0</v>
      </c>
      <c r="AJ171" s="262"/>
      <c r="AK171" s="262"/>
      <c r="AL171" s="262"/>
      <c r="AM171" s="237">
        <f t="shared" si="41"/>
        <v>0</v>
      </c>
      <c r="AN171" s="262"/>
      <c r="AO171" s="262"/>
      <c r="AP171" s="271"/>
      <c r="AQ171" s="262">
        <f t="shared" si="39"/>
        <v>0</v>
      </c>
      <c r="AR171" s="262">
        <f t="shared" si="39"/>
        <v>0</v>
      </c>
      <c r="AS171" s="262">
        <f t="shared" si="39"/>
        <v>0</v>
      </c>
      <c r="AT171" s="262">
        <f t="shared" si="39"/>
        <v>0</v>
      </c>
      <c r="AU171" s="130" t="s">
        <v>61</v>
      </c>
      <c r="AV171" s="83" t="s">
        <v>869</v>
      </c>
      <c r="AW171" s="83" t="s">
        <v>1000</v>
      </c>
      <c r="AX171" s="117" t="s">
        <v>209</v>
      </c>
      <c r="AY171" s="117" t="s">
        <v>65</v>
      </c>
      <c r="AZ171" s="117" t="s">
        <v>297</v>
      </c>
      <c r="BA171" s="270"/>
      <c r="BB171" s="93" t="s">
        <v>68</v>
      </c>
      <c r="BC171" s="93" t="s">
        <v>107</v>
      </c>
      <c r="BD171" s="93" t="s">
        <v>70</v>
      </c>
    </row>
    <row r="172" spans="1:56" s="69" customFormat="1" ht="48" x14ac:dyDescent="0.2">
      <c r="A172" s="246"/>
      <c r="B172" s="246"/>
      <c r="C172" s="248"/>
      <c r="D172" s="249"/>
      <c r="E172" s="255"/>
      <c r="F172" s="256"/>
      <c r="G172" s="255"/>
      <c r="H172" s="266"/>
      <c r="I172" s="257" t="s">
        <v>1001</v>
      </c>
      <c r="J172" s="258">
        <f>+[5]Pond!AF121</f>
        <v>7</v>
      </c>
      <c r="K172" s="83" t="s">
        <v>1002</v>
      </c>
      <c r="L172" s="99">
        <v>35</v>
      </c>
      <c r="M172" s="83" t="s">
        <v>1003</v>
      </c>
      <c r="N172" s="83" t="s">
        <v>57</v>
      </c>
      <c r="O172" s="119" t="s">
        <v>104</v>
      </c>
      <c r="P172" s="97">
        <v>1</v>
      </c>
      <c r="Q172" s="97">
        <v>1</v>
      </c>
      <c r="R172" s="97">
        <v>1</v>
      </c>
      <c r="S172" s="97">
        <v>1</v>
      </c>
      <c r="T172" s="85">
        <v>1</v>
      </c>
      <c r="U172" s="86"/>
      <c r="V172" s="87"/>
      <c r="W172" s="90"/>
      <c r="X172" s="90"/>
      <c r="Y172" s="90"/>
      <c r="Z172" s="90"/>
      <c r="AA172" s="260"/>
      <c r="AB172" s="260"/>
      <c r="AC172" s="260"/>
      <c r="AD172" s="260"/>
      <c r="AE172" s="263">
        <v>30000000</v>
      </c>
      <c r="AF172" s="260"/>
      <c r="AG172" s="260"/>
      <c r="AH172" s="264">
        <f>SUM(AE172:AG172)</f>
        <v>30000000</v>
      </c>
      <c r="AI172" s="237">
        <f>+EVEN(AE172*10%+AE172)</f>
        <v>33000000</v>
      </c>
      <c r="AJ172" s="260"/>
      <c r="AK172" s="260"/>
      <c r="AL172" s="262">
        <f>SUM(AI172:AK172)</f>
        <v>33000000</v>
      </c>
      <c r="AM172" s="237">
        <f>+EVEN(AI172*10%+AI172)</f>
        <v>36300000</v>
      </c>
      <c r="AN172" s="260"/>
      <c r="AO172" s="260"/>
      <c r="AP172" s="259">
        <f>SUM(AM172:AO172)</f>
        <v>36300000</v>
      </c>
      <c r="AQ172" s="260">
        <f t="shared" si="39"/>
        <v>99300000</v>
      </c>
      <c r="AR172" s="260">
        <f t="shared" si="39"/>
        <v>0</v>
      </c>
      <c r="AS172" s="260">
        <f t="shared" si="39"/>
        <v>0</v>
      </c>
      <c r="AT172" s="260">
        <f t="shared" si="39"/>
        <v>99300000</v>
      </c>
      <c r="AU172" s="125" t="s">
        <v>61</v>
      </c>
      <c r="AV172" s="83" t="s">
        <v>869</v>
      </c>
      <c r="AW172" s="83" t="s">
        <v>870</v>
      </c>
      <c r="AX172" s="117" t="s">
        <v>209</v>
      </c>
      <c r="AY172" s="117" t="s">
        <v>65</v>
      </c>
      <c r="AZ172" s="117" t="s">
        <v>297</v>
      </c>
      <c r="BA172" s="261"/>
      <c r="BB172" s="93" t="s">
        <v>68</v>
      </c>
      <c r="BC172" s="93" t="s">
        <v>107</v>
      </c>
      <c r="BD172" s="93" t="s">
        <v>70</v>
      </c>
    </row>
    <row r="173" spans="1:56" s="69" customFormat="1" ht="48" x14ac:dyDescent="0.2">
      <c r="A173" s="246"/>
      <c r="B173" s="246"/>
      <c r="C173" s="248"/>
      <c r="D173" s="249"/>
      <c r="E173" s="255"/>
      <c r="F173" s="256"/>
      <c r="G173" s="255"/>
      <c r="H173" s="266"/>
      <c r="I173" s="257"/>
      <c r="J173" s="258"/>
      <c r="K173" s="83" t="s">
        <v>1004</v>
      </c>
      <c r="L173" s="99">
        <v>35</v>
      </c>
      <c r="M173" s="83" t="s">
        <v>1005</v>
      </c>
      <c r="N173" s="83" t="s">
        <v>57</v>
      </c>
      <c r="O173" s="119" t="s">
        <v>104</v>
      </c>
      <c r="P173" s="97">
        <v>1</v>
      </c>
      <c r="Q173" s="97"/>
      <c r="R173" s="97"/>
      <c r="S173" s="97"/>
      <c r="T173" s="85">
        <f>SUM(P173:S173)</f>
        <v>1</v>
      </c>
      <c r="U173" s="86"/>
      <c r="V173" s="87"/>
      <c r="W173" s="90"/>
      <c r="X173" s="90"/>
      <c r="Y173" s="90"/>
      <c r="Z173" s="90"/>
      <c r="AA173" s="260"/>
      <c r="AB173" s="260"/>
      <c r="AC173" s="260"/>
      <c r="AD173" s="260"/>
      <c r="AE173" s="263"/>
      <c r="AF173" s="260"/>
      <c r="AG173" s="260"/>
      <c r="AH173" s="260"/>
      <c r="AI173" s="237">
        <f t="shared" si="44"/>
        <v>0</v>
      </c>
      <c r="AJ173" s="260"/>
      <c r="AK173" s="260"/>
      <c r="AL173" s="262"/>
      <c r="AM173" s="237">
        <f t="shared" si="41"/>
        <v>0</v>
      </c>
      <c r="AN173" s="260"/>
      <c r="AO173" s="260"/>
      <c r="AP173" s="259"/>
      <c r="AQ173" s="260">
        <f t="shared" si="39"/>
        <v>0</v>
      </c>
      <c r="AR173" s="260">
        <f t="shared" si="39"/>
        <v>0</v>
      </c>
      <c r="AS173" s="260">
        <f t="shared" si="39"/>
        <v>0</v>
      </c>
      <c r="AT173" s="260">
        <f t="shared" si="39"/>
        <v>0</v>
      </c>
      <c r="AU173" s="125" t="s">
        <v>61</v>
      </c>
      <c r="AV173" s="83" t="s">
        <v>85</v>
      </c>
      <c r="AW173" s="83" t="s">
        <v>85</v>
      </c>
      <c r="AX173" s="117" t="s">
        <v>209</v>
      </c>
      <c r="AY173" s="117" t="s">
        <v>65</v>
      </c>
      <c r="AZ173" s="117" t="s">
        <v>297</v>
      </c>
      <c r="BA173" s="261"/>
      <c r="BB173" s="93" t="s">
        <v>68</v>
      </c>
      <c r="BC173" s="93" t="s">
        <v>107</v>
      </c>
      <c r="BD173" s="93" t="s">
        <v>70</v>
      </c>
    </row>
    <row r="174" spans="1:56" s="69" customFormat="1" ht="48" x14ac:dyDescent="0.2">
      <c r="A174" s="246"/>
      <c r="B174" s="246"/>
      <c r="C174" s="248"/>
      <c r="D174" s="249"/>
      <c r="E174" s="255"/>
      <c r="F174" s="256"/>
      <c r="G174" s="255"/>
      <c r="H174" s="266"/>
      <c r="I174" s="257"/>
      <c r="J174" s="258"/>
      <c r="K174" s="94" t="s">
        <v>1006</v>
      </c>
      <c r="L174" s="85">
        <v>30</v>
      </c>
      <c r="M174" s="94" t="s">
        <v>1007</v>
      </c>
      <c r="N174" s="94" t="s">
        <v>57</v>
      </c>
      <c r="O174" s="119" t="s">
        <v>58</v>
      </c>
      <c r="P174" s="97"/>
      <c r="Q174" s="85">
        <v>1</v>
      </c>
      <c r="R174" s="85">
        <v>1</v>
      </c>
      <c r="S174" s="85">
        <v>1</v>
      </c>
      <c r="T174" s="85">
        <f>SUM(P174:S174)</f>
        <v>3</v>
      </c>
      <c r="U174" s="86"/>
      <c r="V174" s="87"/>
      <c r="W174" s="90"/>
      <c r="X174" s="90"/>
      <c r="Y174" s="90"/>
      <c r="Z174" s="90"/>
      <c r="AA174" s="260"/>
      <c r="AB174" s="260"/>
      <c r="AC174" s="260"/>
      <c r="AD174" s="260"/>
      <c r="AE174" s="263"/>
      <c r="AF174" s="260"/>
      <c r="AG174" s="260"/>
      <c r="AH174" s="260"/>
      <c r="AI174" s="237">
        <f t="shared" si="44"/>
        <v>0</v>
      </c>
      <c r="AJ174" s="260"/>
      <c r="AK174" s="260"/>
      <c r="AL174" s="262"/>
      <c r="AM174" s="237">
        <f t="shared" si="41"/>
        <v>0</v>
      </c>
      <c r="AN174" s="260"/>
      <c r="AO174" s="260"/>
      <c r="AP174" s="259"/>
      <c r="AQ174" s="260">
        <f t="shared" si="39"/>
        <v>0</v>
      </c>
      <c r="AR174" s="260">
        <f t="shared" si="39"/>
        <v>0</v>
      </c>
      <c r="AS174" s="260">
        <f t="shared" si="39"/>
        <v>0</v>
      </c>
      <c r="AT174" s="260">
        <f t="shared" si="39"/>
        <v>0</v>
      </c>
      <c r="AU174" s="125" t="s">
        <v>61</v>
      </c>
      <c r="AV174" s="94" t="s">
        <v>85</v>
      </c>
      <c r="AW174" s="94" t="s">
        <v>85</v>
      </c>
      <c r="AX174" s="117" t="s">
        <v>209</v>
      </c>
      <c r="AY174" s="117" t="s">
        <v>65</v>
      </c>
      <c r="AZ174" s="117" t="s">
        <v>297</v>
      </c>
      <c r="BA174" s="261"/>
      <c r="BB174" s="93" t="s">
        <v>68</v>
      </c>
      <c r="BC174" s="93" t="s">
        <v>107</v>
      </c>
      <c r="BD174" s="93" t="s">
        <v>70</v>
      </c>
    </row>
    <row r="175" spans="1:56" s="69" customFormat="1" ht="48" x14ac:dyDescent="0.2">
      <c r="A175" s="246"/>
      <c r="B175" s="246"/>
      <c r="C175" s="248"/>
      <c r="D175" s="249"/>
      <c r="E175" s="255"/>
      <c r="F175" s="256"/>
      <c r="G175" s="255"/>
      <c r="H175" s="267"/>
      <c r="I175" s="98" t="s">
        <v>1008</v>
      </c>
      <c r="J175" s="99">
        <f>+[5]Pond!AF122</f>
        <v>8</v>
      </c>
      <c r="K175" s="94" t="s">
        <v>1009</v>
      </c>
      <c r="L175" s="85">
        <v>100</v>
      </c>
      <c r="M175" s="94" t="s">
        <v>1010</v>
      </c>
      <c r="N175" s="94" t="s">
        <v>57</v>
      </c>
      <c r="O175" s="119" t="s">
        <v>81</v>
      </c>
      <c r="P175" s="97"/>
      <c r="Q175" s="97">
        <v>50</v>
      </c>
      <c r="R175" s="85">
        <v>50</v>
      </c>
      <c r="S175" s="85"/>
      <c r="T175" s="85">
        <f>SUM(P175:S175)</f>
        <v>100</v>
      </c>
      <c r="U175" s="86"/>
      <c r="V175" s="87"/>
      <c r="W175" s="90"/>
      <c r="X175" s="90"/>
      <c r="Y175" s="90"/>
      <c r="Z175" s="90"/>
      <c r="AA175" s="125"/>
      <c r="AB175" s="125"/>
      <c r="AC175" s="125"/>
      <c r="AD175" s="125"/>
      <c r="AE175" s="91">
        <v>80000000</v>
      </c>
      <c r="AF175" s="125"/>
      <c r="AG175" s="125"/>
      <c r="AH175" s="166">
        <f>SUM(AE175:AG175)</f>
        <v>80000000</v>
      </c>
      <c r="AI175" s="115">
        <v>50000000</v>
      </c>
      <c r="AJ175" s="125"/>
      <c r="AK175" s="125"/>
      <c r="AL175" s="166">
        <f>SUM(AI175:AK175)</f>
        <v>50000000</v>
      </c>
      <c r="AM175" s="115"/>
      <c r="AN175" s="125"/>
      <c r="AO175" s="125"/>
      <c r="AP175" s="167"/>
      <c r="AQ175" s="168">
        <f t="shared" si="39"/>
        <v>130000000</v>
      </c>
      <c r="AR175" s="125">
        <f t="shared" si="39"/>
        <v>0</v>
      </c>
      <c r="AS175" s="125">
        <f t="shared" si="39"/>
        <v>0</v>
      </c>
      <c r="AT175" s="125">
        <f t="shared" si="39"/>
        <v>130000000</v>
      </c>
      <c r="AU175" s="125" t="s">
        <v>61</v>
      </c>
      <c r="AV175" s="94" t="s">
        <v>85</v>
      </c>
      <c r="AW175" s="94" t="s">
        <v>85</v>
      </c>
      <c r="AX175" s="117" t="s">
        <v>209</v>
      </c>
      <c r="AY175" s="117" t="s">
        <v>65</v>
      </c>
      <c r="AZ175" s="117" t="s">
        <v>297</v>
      </c>
      <c r="BA175" s="129"/>
      <c r="BB175" s="93" t="s">
        <v>68</v>
      </c>
      <c r="BC175" s="93" t="s">
        <v>107</v>
      </c>
      <c r="BD175" s="93" t="s">
        <v>70</v>
      </c>
    </row>
    <row r="176" spans="1:56" s="69" customFormat="1" ht="48" x14ac:dyDescent="0.2">
      <c r="A176" s="246"/>
      <c r="B176" s="246"/>
      <c r="C176" s="248"/>
      <c r="D176" s="249"/>
      <c r="E176" s="255" t="s">
        <v>1011</v>
      </c>
      <c r="F176" s="256">
        <f>+[5]Pond!AF123</f>
        <v>8</v>
      </c>
      <c r="G176" s="255" t="s">
        <v>846</v>
      </c>
      <c r="H176" s="255" t="s">
        <v>1012</v>
      </c>
      <c r="I176" s="257" t="s">
        <v>1013</v>
      </c>
      <c r="J176" s="258">
        <f>+[5]Pond!AF124</f>
        <v>100</v>
      </c>
      <c r="K176" s="83" t="s">
        <v>1014</v>
      </c>
      <c r="L176" s="99">
        <v>60</v>
      </c>
      <c r="M176" s="83" t="s">
        <v>1015</v>
      </c>
      <c r="N176" s="83" t="s">
        <v>57</v>
      </c>
      <c r="O176" s="119" t="s">
        <v>73</v>
      </c>
      <c r="P176" s="97">
        <v>82</v>
      </c>
      <c r="Q176" s="97">
        <v>82</v>
      </c>
      <c r="R176" s="97">
        <v>82</v>
      </c>
      <c r="S176" s="97">
        <v>82</v>
      </c>
      <c r="T176" s="97">
        <v>82</v>
      </c>
      <c r="U176" s="169"/>
      <c r="V176" s="170"/>
      <c r="W176" s="90"/>
      <c r="X176" s="90"/>
      <c r="Y176" s="90"/>
      <c r="Z176" s="90"/>
      <c r="AA176" s="237">
        <f>+'[5]Gastos por fuentes 2024'!D221</f>
        <v>83733600</v>
      </c>
      <c r="AB176" s="237"/>
      <c r="AC176" s="237"/>
      <c r="AD176" s="237">
        <f>SUM(AA176:AC176)</f>
        <v>83733600</v>
      </c>
      <c r="AE176" s="237">
        <f>+EVEN(AA176*3%+AA176)</f>
        <v>86245608</v>
      </c>
      <c r="AF176" s="237"/>
      <c r="AG176" s="237"/>
      <c r="AH176" s="237">
        <f>SUM(AE176:AG176)</f>
        <v>86245608</v>
      </c>
      <c r="AI176" s="237">
        <f>+EVEN(AE176*10%+AE176)</f>
        <v>94870170</v>
      </c>
      <c r="AJ176" s="237"/>
      <c r="AK176" s="237"/>
      <c r="AL176" s="237">
        <f>SUM(AI176:AK176)</f>
        <v>94870170</v>
      </c>
      <c r="AM176" s="237">
        <f>+EVEN(AI176*10%+AI176)</f>
        <v>104357188</v>
      </c>
      <c r="AN176" s="237"/>
      <c r="AO176" s="237"/>
      <c r="AP176" s="238">
        <f>SUM(AM176:AO176)</f>
        <v>104357188</v>
      </c>
      <c r="AQ176" s="237">
        <f t="shared" si="39"/>
        <v>369206566</v>
      </c>
      <c r="AR176" s="237">
        <f t="shared" si="39"/>
        <v>0</v>
      </c>
      <c r="AS176" s="237">
        <f t="shared" si="39"/>
        <v>0</v>
      </c>
      <c r="AT176" s="237">
        <f t="shared" si="39"/>
        <v>369206566</v>
      </c>
      <c r="AU176" s="115" t="s">
        <v>61</v>
      </c>
      <c r="AV176" s="83" t="s">
        <v>905</v>
      </c>
      <c r="AW176" s="83" t="s">
        <v>906</v>
      </c>
      <c r="AX176" s="117" t="s">
        <v>209</v>
      </c>
      <c r="AY176" s="117" t="s">
        <v>65</v>
      </c>
      <c r="AZ176" s="117" t="s">
        <v>297</v>
      </c>
      <c r="BA176" s="234" t="s">
        <v>1016</v>
      </c>
      <c r="BB176" s="93" t="s">
        <v>68</v>
      </c>
      <c r="BC176" s="93" t="s">
        <v>107</v>
      </c>
      <c r="BD176" s="93" t="s">
        <v>70</v>
      </c>
    </row>
    <row r="177" spans="1:140" s="69" customFormat="1" ht="48" x14ac:dyDescent="0.2">
      <c r="A177" s="246"/>
      <c r="B177" s="246"/>
      <c r="C177" s="248"/>
      <c r="D177" s="249"/>
      <c r="E177" s="255"/>
      <c r="F177" s="256"/>
      <c r="G177" s="255"/>
      <c r="H177" s="255"/>
      <c r="I177" s="257"/>
      <c r="J177" s="258"/>
      <c r="K177" s="83" t="s">
        <v>1017</v>
      </c>
      <c r="L177" s="99">
        <v>20</v>
      </c>
      <c r="M177" s="83" t="s">
        <v>1018</v>
      </c>
      <c r="N177" s="83" t="s">
        <v>57</v>
      </c>
      <c r="O177" s="119" t="s">
        <v>73</v>
      </c>
      <c r="P177" s="97">
        <v>100</v>
      </c>
      <c r="Q177" s="97">
        <v>100</v>
      </c>
      <c r="R177" s="97">
        <v>100</v>
      </c>
      <c r="S177" s="97">
        <v>100</v>
      </c>
      <c r="T177" s="97" t="s">
        <v>531</v>
      </c>
      <c r="U177" s="169"/>
      <c r="V177" s="170"/>
      <c r="W177" s="90"/>
      <c r="X177" s="90"/>
      <c r="Y177" s="90"/>
      <c r="Z177" s="90"/>
      <c r="AA177" s="237"/>
      <c r="AB177" s="237"/>
      <c r="AC177" s="237"/>
      <c r="AD177" s="237"/>
      <c r="AE177" s="237"/>
      <c r="AF177" s="237"/>
      <c r="AG177" s="237"/>
      <c r="AH177" s="237"/>
      <c r="AI177" s="237"/>
      <c r="AJ177" s="237"/>
      <c r="AK177" s="237"/>
      <c r="AL177" s="237"/>
      <c r="AM177" s="237"/>
      <c r="AN177" s="237"/>
      <c r="AO177" s="237"/>
      <c r="AP177" s="238"/>
      <c r="AQ177" s="237"/>
      <c r="AR177" s="237"/>
      <c r="AS177" s="237"/>
      <c r="AT177" s="237"/>
      <c r="AU177" s="115" t="s">
        <v>61</v>
      </c>
      <c r="AV177" s="83" t="s">
        <v>905</v>
      </c>
      <c r="AW177" s="83" t="s">
        <v>916</v>
      </c>
      <c r="AX177" s="117" t="s">
        <v>209</v>
      </c>
      <c r="AY177" s="117" t="s">
        <v>65</v>
      </c>
      <c r="AZ177" s="117" t="s">
        <v>297</v>
      </c>
      <c r="BA177" s="234"/>
      <c r="BB177" s="93" t="s">
        <v>68</v>
      </c>
      <c r="BC177" s="93" t="s">
        <v>107</v>
      </c>
      <c r="BD177" s="93" t="s">
        <v>70</v>
      </c>
    </row>
    <row r="178" spans="1:140" s="69" customFormat="1" ht="48" x14ac:dyDescent="0.2">
      <c r="A178" s="246"/>
      <c r="B178" s="246"/>
      <c r="C178" s="248"/>
      <c r="D178" s="249"/>
      <c r="E178" s="255"/>
      <c r="F178" s="256"/>
      <c r="G178" s="255"/>
      <c r="H178" s="255"/>
      <c r="I178" s="257"/>
      <c r="J178" s="258"/>
      <c r="K178" s="83" t="s">
        <v>1019</v>
      </c>
      <c r="L178" s="99">
        <v>20</v>
      </c>
      <c r="M178" s="83" t="s">
        <v>1020</v>
      </c>
      <c r="N178" s="83" t="s">
        <v>57</v>
      </c>
      <c r="O178" s="119" t="s">
        <v>58</v>
      </c>
      <c r="P178" s="97">
        <v>33</v>
      </c>
      <c r="Q178" s="97">
        <v>33</v>
      </c>
      <c r="R178" s="97">
        <v>33</v>
      </c>
      <c r="S178" s="97">
        <v>33</v>
      </c>
      <c r="T178" s="97" t="s">
        <v>1021</v>
      </c>
      <c r="U178" s="169"/>
      <c r="V178" s="170"/>
      <c r="W178" s="90"/>
      <c r="X178" s="90"/>
      <c r="Y178" s="90"/>
      <c r="Z178" s="90"/>
      <c r="AA178" s="237"/>
      <c r="AB178" s="237"/>
      <c r="AC178" s="237"/>
      <c r="AD178" s="237"/>
      <c r="AE178" s="237"/>
      <c r="AF178" s="237"/>
      <c r="AG178" s="237"/>
      <c r="AH178" s="237"/>
      <c r="AI178" s="237"/>
      <c r="AJ178" s="237"/>
      <c r="AK178" s="237"/>
      <c r="AL178" s="237"/>
      <c r="AM178" s="237"/>
      <c r="AN178" s="237"/>
      <c r="AO178" s="237"/>
      <c r="AP178" s="238"/>
      <c r="AQ178" s="237"/>
      <c r="AR178" s="237"/>
      <c r="AS178" s="237"/>
      <c r="AT178" s="237"/>
      <c r="AU178" s="115" t="s">
        <v>61</v>
      </c>
      <c r="AV178" s="83" t="s">
        <v>85</v>
      </c>
      <c r="AW178" s="83" t="s">
        <v>85</v>
      </c>
      <c r="AX178" s="117" t="s">
        <v>209</v>
      </c>
      <c r="AY178" s="117" t="s">
        <v>65</v>
      </c>
      <c r="AZ178" s="117" t="s">
        <v>297</v>
      </c>
      <c r="BA178" s="234"/>
      <c r="BB178" s="93" t="s">
        <v>68</v>
      </c>
      <c r="BC178" s="93" t="s">
        <v>107</v>
      </c>
      <c r="BD178" s="93" t="s">
        <v>70</v>
      </c>
    </row>
    <row r="179" spans="1:140" s="69" customFormat="1" ht="48" x14ac:dyDescent="0.2">
      <c r="A179" s="246"/>
      <c r="B179" s="246"/>
      <c r="C179" s="248"/>
      <c r="D179" s="249"/>
      <c r="E179" s="253" t="s">
        <v>1022</v>
      </c>
      <c r="F179" s="254">
        <f>+[5]Pond!AF125</f>
        <v>8</v>
      </c>
      <c r="G179" s="253" t="s">
        <v>846</v>
      </c>
      <c r="H179" s="253" t="s">
        <v>1023</v>
      </c>
      <c r="I179" s="235" t="s">
        <v>1024</v>
      </c>
      <c r="J179" s="236">
        <f>+[5]Pond!AF126</f>
        <v>70</v>
      </c>
      <c r="K179" s="94" t="s">
        <v>1025</v>
      </c>
      <c r="L179" s="85">
        <v>50</v>
      </c>
      <c r="M179" s="94" t="s">
        <v>1026</v>
      </c>
      <c r="N179" s="94" t="s">
        <v>57</v>
      </c>
      <c r="O179" s="94" t="s">
        <v>58</v>
      </c>
      <c r="P179" s="85"/>
      <c r="Q179" s="85">
        <v>1</v>
      </c>
      <c r="R179" s="85">
        <v>1</v>
      </c>
      <c r="S179" s="85">
        <v>1</v>
      </c>
      <c r="T179" s="85">
        <v>1</v>
      </c>
      <c r="U179" s="86" t="s">
        <v>1027</v>
      </c>
      <c r="V179" s="87"/>
      <c r="W179" s="94"/>
      <c r="X179" s="94"/>
      <c r="Y179" s="94"/>
      <c r="Z179" s="94"/>
      <c r="AA179" s="240"/>
      <c r="AB179" s="240"/>
      <c r="AC179" s="240"/>
      <c r="AD179" s="240"/>
      <c r="AE179" s="240">
        <v>170000000</v>
      </c>
      <c r="AF179" s="240"/>
      <c r="AG179" s="240"/>
      <c r="AH179" s="237">
        <f t="shared" ref="AH179" si="45">SUM(AE179:AG179)</f>
        <v>170000000</v>
      </c>
      <c r="AI179" s="252">
        <f>+EVEN(AE179*10%+AE179)</f>
        <v>187000000</v>
      </c>
      <c r="AJ179" s="240"/>
      <c r="AK179" s="240"/>
      <c r="AL179" s="240">
        <f>SUM(AI179:AK179)</f>
        <v>187000000</v>
      </c>
      <c r="AM179" s="252">
        <f>+EVEN(AI179*10%+AI179)</f>
        <v>205700000</v>
      </c>
      <c r="AN179" s="240"/>
      <c r="AO179" s="240"/>
      <c r="AP179" s="251">
        <f>SUM(AM179:AO179)</f>
        <v>205700000</v>
      </c>
      <c r="AQ179" s="240">
        <f t="shared" si="39"/>
        <v>562700000</v>
      </c>
      <c r="AR179" s="240">
        <f t="shared" si="39"/>
        <v>0</v>
      </c>
      <c r="AS179" s="240">
        <f t="shared" si="39"/>
        <v>0</v>
      </c>
      <c r="AT179" s="240">
        <f t="shared" si="39"/>
        <v>562700000</v>
      </c>
      <c r="AU179" s="161" t="s">
        <v>61</v>
      </c>
      <c r="AV179" s="94" t="s">
        <v>85</v>
      </c>
      <c r="AW179" s="94" t="s">
        <v>85</v>
      </c>
      <c r="AX179" s="117" t="s">
        <v>209</v>
      </c>
      <c r="AY179" s="117" t="s">
        <v>65</v>
      </c>
      <c r="AZ179" s="117" t="s">
        <v>297</v>
      </c>
      <c r="BA179" s="241"/>
      <c r="BB179" s="93" t="s">
        <v>68</v>
      </c>
      <c r="BC179" s="93" t="s">
        <v>107</v>
      </c>
      <c r="BD179" s="93" t="s">
        <v>70</v>
      </c>
    </row>
    <row r="180" spans="1:140" s="69" customFormat="1" ht="48" x14ac:dyDescent="0.2">
      <c r="A180" s="246"/>
      <c r="B180" s="246"/>
      <c r="C180" s="248"/>
      <c r="D180" s="249"/>
      <c r="E180" s="253"/>
      <c r="F180" s="254"/>
      <c r="G180" s="253"/>
      <c r="H180" s="253"/>
      <c r="I180" s="235"/>
      <c r="J180" s="236"/>
      <c r="K180" s="94" t="s">
        <v>1028</v>
      </c>
      <c r="L180" s="85">
        <v>50</v>
      </c>
      <c r="M180" s="94" t="s">
        <v>1029</v>
      </c>
      <c r="N180" s="94" t="s">
        <v>57</v>
      </c>
      <c r="O180" s="94" t="s">
        <v>58</v>
      </c>
      <c r="P180" s="85"/>
      <c r="Q180" s="85">
        <v>1</v>
      </c>
      <c r="R180" s="85">
        <v>1</v>
      </c>
      <c r="S180" s="85">
        <v>1</v>
      </c>
      <c r="T180" s="85">
        <v>1</v>
      </c>
      <c r="U180" s="86"/>
      <c r="V180" s="87"/>
      <c r="W180" s="94"/>
      <c r="X180" s="94"/>
      <c r="Y180" s="94"/>
      <c r="Z180" s="94"/>
      <c r="AA180" s="240"/>
      <c r="AB180" s="240"/>
      <c r="AC180" s="240"/>
      <c r="AD180" s="240"/>
      <c r="AE180" s="240"/>
      <c r="AF180" s="240"/>
      <c r="AG180" s="240"/>
      <c r="AH180" s="237"/>
      <c r="AI180" s="252">
        <f t="shared" ref="AI180:AI182" si="46">+EVEN(AE180*6%+AE180)</f>
        <v>0</v>
      </c>
      <c r="AJ180" s="240"/>
      <c r="AK180" s="240"/>
      <c r="AL180" s="240"/>
      <c r="AM180" s="252">
        <f t="shared" ref="AM180:AM182" si="47">+EVEN(AI180*6%+AI180)</f>
        <v>0</v>
      </c>
      <c r="AN180" s="240"/>
      <c r="AO180" s="240"/>
      <c r="AP180" s="251"/>
      <c r="AQ180" s="240">
        <f t="shared" si="39"/>
        <v>0</v>
      </c>
      <c r="AR180" s="240">
        <f t="shared" si="39"/>
        <v>0</v>
      </c>
      <c r="AS180" s="240">
        <f t="shared" si="39"/>
        <v>0</v>
      </c>
      <c r="AT180" s="240">
        <f t="shared" si="39"/>
        <v>0</v>
      </c>
      <c r="AU180" s="161" t="s">
        <v>61</v>
      </c>
      <c r="AV180" s="94" t="s">
        <v>85</v>
      </c>
      <c r="AW180" s="94" t="s">
        <v>85</v>
      </c>
      <c r="AX180" s="117" t="s">
        <v>209</v>
      </c>
      <c r="AY180" s="117" t="s">
        <v>65</v>
      </c>
      <c r="AZ180" s="117" t="s">
        <v>297</v>
      </c>
      <c r="BA180" s="241"/>
      <c r="BB180" s="93" t="s">
        <v>68</v>
      </c>
      <c r="BC180" s="93" t="s">
        <v>107</v>
      </c>
      <c r="BD180" s="93" t="s">
        <v>70</v>
      </c>
    </row>
    <row r="181" spans="1:140" s="69" customFormat="1" ht="48" x14ac:dyDescent="0.2">
      <c r="A181" s="246"/>
      <c r="B181" s="246"/>
      <c r="C181" s="248"/>
      <c r="D181" s="249"/>
      <c r="E181" s="253"/>
      <c r="F181" s="254"/>
      <c r="G181" s="253"/>
      <c r="H181" s="253"/>
      <c r="I181" s="235" t="s">
        <v>1030</v>
      </c>
      <c r="J181" s="236">
        <f>+[5]Pond!AF127</f>
        <v>30</v>
      </c>
      <c r="K181" s="94" t="s">
        <v>1031</v>
      </c>
      <c r="L181" s="85">
        <v>50</v>
      </c>
      <c r="M181" s="94" t="s">
        <v>1032</v>
      </c>
      <c r="N181" s="94" t="s">
        <v>57</v>
      </c>
      <c r="O181" s="90" t="s">
        <v>58</v>
      </c>
      <c r="P181" s="124"/>
      <c r="Q181" s="124" t="s">
        <v>836</v>
      </c>
      <c r="R181" s="124"/>
      <c r="S181" s="124"/>
      <c r="T181" s="124" t="s">
        <v>836</v>
      </c>
      <c r="U181" s="104"/>
      <c r="V181" s="125"/>
      <c r="W181" s="90"/>
      <c r="X181" s="90"/>
      <c r="Y181" s="90"/>
      <c r="Z181" s="90"/>
      <c r="AA181" s="240"/>
      <c r="AB181" s="240"/>
      <c r="AC181" s="240"/>
      <c r="AD181" s="240"/>
      <c r="AE181" s="240"/>
      <c r="AF181" s="240"/>
      <c r="AG181" s="240"/>
      <c r="AH181" s="237"/>
      <c r="AI181" s="252">
        <f t="shared" si="46"/>
        <v>0</v>
      </c>
      <c r="AJ181" s="240"/>
      <c r="AK181" s="240"/>
      <c r="AL181" s="240">
        <f>SUM(AI181:AK181)</f>
        <v>0</v>
      </c>
      <c r="AM181" s="252">
        <f t="shared" si="47"/>
        <v>0</v>
      </c>
      <c r="AN181" s="240"/>
      <c r="AO181" s="240"/>
      <c r="AP181" s="251">
        <f>SUM(AM181:AO181)</f>
        <v>0</v>
      </c>
      <c r="AQ181" s="240">
        <f t="shared" si="39"/>
        <v>0</v>
      </c>
      <c r="AR181" s="240">
        <f t="shared" si="39"/>
        <v>0</v>
      </c>
      <c r="AS181" s="240">
        <f t="shared" si="39"/>
        <v>0</v>
      </c>
      <c r="AT181" s="240">
        <f t="shared" si="39"/>
        <v>0</v>
      </c>
      <c r="AU181" s="161" t="s">
        <v>61</v>
      </c>
      <c r="AV181" s="94" t="s">
        <v>85</v>
      </c>
      <c r="AW181" s="94" t="s">
        <v>85</v>
      </c>
      <c r="AX181" s="117" t="s">
        <v>209</v>
      </c>
      <c r="AY181" s="117" t="s">
        <v>65</v>
      </c>
      <c r="AZ181" s="117" t="s">
        <v>297</v>
      </c>
      <c r="BA181" s="241"/>
      <c r="BB181" s="93" t="s">
        <v>68</v>
      </c>
      <c r="BC181" s="93" t="s">
        <v>107</v>
      </c>
      <c r="BD181" s="93" t="s">
        <v>70</v>
      </c>
    </row>
    <row r="182" spans="1:140" s="69" customFormat="1" ht="48" x14ac:dyDescent="0.2">
      <c r="A182" s="247"/>
      <c r="B182" s="247"/>
      <c r="C182" s="248"/>
      <c r="D182" s="249"/>
      <c r="E182" s="253"/>
      <c r="F182" s="254"/>
      <c r="G182" s="253"/>
      <c r="H182" s="253"/>
      <c r="I182" s="235"/>
      <c r="J182" s="236"/>
      <c r="K182" s="94" t="s">
        <v>1033</v>
      </c>
      <c r="L182" s="85">
        <v>50</v>
      </c>
      <c r="M182" s="94" t="s">
        <v>1034</v>
      </c>
      <c r="N182" s="94" t="s">
        <v>57</v>
      </c>
      <c r="O182" s="90" t="s">
        <v>81</v>
      </c>
      <c r="P182" s="124"/>
      <c r="Q182" s="124">
        <v>100</v>
      </c>
      <c r="R182" s="124">
        <v>100</v>
      </c>
      <c r="S182" s="124">
        <v>100</v>
      </c>
      <c r="T182" s="124">
        <v>100</v>
      </c>
      <c r="U182" s="104"/>
      <c r="V182" s="125"/>
      <c r="W182" s="90"/>
      <c r="X182" s="90"/>
      <c r="Y182" s="90"/>
      <c r="Z182" s="90"/>
      <c r="AA182" s="240"/>
      <c r="AB182" s="240"/>
      <c r="AC182" s="240"/>
      <c r="AD182" s="240"/>
      <c r="AE182" s="240"/>
      <c r="AF182" s="240"/>
      <c r="AG182" s="240"/>
      <c r="AH182" s="237"/>
      <c r="AI182" s="252">
        <f t="shared" si="46"/>
        <v>0</v>
      </c>
      <c r="AJ182" s="240"/>
      <c r="AK182" s="240"/>
      <c r="AL182" s="240"/>
      <c r="AM182" s="252">
        <f t="shared" si="47"/>
        <v>0</v>
      </c>
      <c r="AN182" s="240"/>
      <c r="AO182" s="240"/>
      <c r="AP182" s="251"/>
      <c r="AQ182" s="240">
        <f t="shared" si="39"/>
        <v>0</v>
      </c>
      <c r="AR182" s="240">
        <f t="shared" si="39"/>
        <v>0</v>
      </c>
      <c r="AS182" s="240">
        <f t="shared" si="39"/>
        <v>0</v>
      </c>
      <c r="AT182" s="240">
        <f t="shared" si="39"/>
        <v>0</v>
      </c>
      <c r="AU182" s="161" t="s">
        <v>61</v>
      </c>
      <c r="AV182" s="94" t="s">
        <v>85</v>
      </c>
      <c r="AW182" s="94" t="s">
        <v>85</v>
      </c>
      <c r="AX182" s="117" t="s">
        <v>209</v>
      </c>
      <c r="AY182" s="117" t="s">
        <v>65</v>
      </c>
      <c r="AZ182" s="117" t="s">
        <v>297</v>
      </c>
      <c r="BA182" s="241"/>
      <c r="BB182" s="93" t="s">
        <v>68</v>
      </c>
      <c r="BC182" s="93" t="s">
        <v>107</v>
      </c>
      <c r="BD182" s="93" t="s">
        <v>70</v>
      </c>
    </row>
    <row r="183" spans="1:140" s="69" customFormat="1" ht="48" x14ac:dyDescent="0.2">
      <c r="A183" s="242" t="s">
        <v>1035</v>
      </c>
      <c r="B183" s="245">
        <v>12</v>
      </c>
      <c r="C183" s="248" t="s">
        <v>1036</v>
      </c>
      <c r="D183" s="249">
        <v>100</v>
      </c>
      <c r="E183" s="239" t="s">
        <v>1037</v>
      </c>
      <c r="F183" s="250">
        <f>+[5]Pond!AF66</f>
        <v>100</v>
      </c>
      <c r="G183" s="239" t="s">
        <v>1038</v>
      </c>
      <c r="H183" s="239" t="s">
        <v>1039</v>
      </c>
      <c r="I183" s="235" t="s">
        <v>1040</v>
      </c>
      <c r="J183" s="236">
        <f>+[5]Pond!AF67</f>
        <v>70</v>
      </c>
      <c r="K183" s="86" t="s">
        <v>1041</v>
      </c>
      <c r="L183" s="85">
        <v>50</v>
      </c>
      <c r="M183" s="94" t="s">
        <v>1042</v>
      </c>
      <c r="N183" s="94" t="s">
        <v>57</v>
      </c>
      <c r="O183" s="94" t="s">
        <v>104</v>
      </c>
      <c r="P183" s="85" t="s">
        <v>836</v>
      </c>
      <c r="Q183" s="85" t="s">
        <v>836</v>
      </c>
      <c r="R183" s="85" t="s">
        <v>836</v>
      </c>
      <c r="S183" s="85" t="s">
        <v>836</v>
      </c>
      <c r="T183" s="85" t="s">
        <v>836</v>
      </c>
      <c r="U183" s="86"/>
      <c r="V183" s="87"/>
      <c r="W183" s="90"/>
      <c r="X183" s="90"/>
      <c r="Y183" s="90"/>
      <c r="Z183" s="90"/>
      <c r="AA183" s="237">
        <f>+'[5]Gastos por fuentes 2024'!D156</f>
        <v>350000000</v>
      </c>
      <c r="AB183" s="237"/>
      <c r="AC183" s="237"/>
      <c r="AD183" s="237">
        <f>SUM(AA183:AC183)</f>
        <v>350000000</v>
      </c>
      <c r="AE183" s="237">
        <f>+EVEN(AA183*3%+AA183)</f>
        <v>360500000</v>
      </c>
      <c r="AF183" s="237"/>
      <c r="AG183" s="237"/>
      <c r="AH183" s="237">
        <f>SUM(AE183:AG183)</f>
        <v>360500000</v>
      </c>
      <c r="AI183" s="237">
        <f>+EVEN(AE183*10%+AE183)</f>
        <v>396550000</v>
      </c>
      <c r="AJ183" s="237"/>
      <c r="AK183" s="237"/>
      <c r="AL183" s="237">
        <f>SUM(AI183:AK183)</f>
        <v>396550000</v>
      </c>
      <c r="AM183" s="237">
        <f>+EVEN(AI183*10%+AI183)</f>
        <v>436205000</v>
      </c>
      <c r="AN183" s="237"/>
      <c r="AO183" s="237"/>
      <c r="AP183" s="238">
        <f>SUM(AM183:AO183)</f>
        <v>436205000</v>
      </c>
      <c r="AQ183" s="237">
        <f t="shared" ref="AQ183:AT186" si="48">+AA183+AE183+AI183+AM183</f>
        <v>1543255000</v>
      </c>
      <c r="AR183" s="237">
        <f t="shared" si="48"/>
        <v>0</v>
      </c>
      <c r="AS183" s="237">
        <f t="shared" si="48"/>
        <v>0</v>
      </c>
      <c r="AT183" s="237">
        <f t="shared" si="48"/>
        <v>1543255000</v>
      </c>
      <c r="AU183" s="115" t="s">
        <v>61</v>
      </c>
      <c r="AV183" s="86" t="s">
        <v>1043</v>
      </c>
      <c r="AW183" s="86" t="s">
        <v>1044</v>
      </c>
      <c r="AX183" s="96" t="s">
        <v>151</v>
      </c>
      <c r="AY183" s="117" t="s">
        <v>65</v>
      </c>
      <c r="AZ183" s="96" t="s">
        <v>297</v>
      </c>
      <c r="BA183" s="234"/>
      <c r="BB183" s="93" t="s">
        <v>68</v>
      </c>
      <c r="BC183" s="93" t="s">
        <v>107</v>
      </c>
      <c r="BD183" s="93" t="s">
        <v>70</v>
      </c>
    </row>
    <row r="184" spans="1:140" s="69" customFormat="1" ht="48" x14ac:dyDescent="0.2">
      <c r="A184" s="243"/>
      <c r="B184" s="246"/>
      <c r="C184" s="248"/>
      <c r="D184" s="249"/>
      <c r="E184" s="239"/>
      <c r="F184" s="250"/>
      <c r="G184" s="239"/>
      <c r="H184" s="239"/>
      <c r="I184" s="235"/>
      <c r="J184" s="236"/>
      <c r="K184" s="86" t="s">
        <v>1045</v>
      </c>
      <c r="L184" s="85">
        <v>50</v>
      </c>
      <c r="M184" s="94" t="s">
        <v>1046</v>
      </c>
      <c r="N184" s="94" t="s">
        <v>57</v>
      </c>
      <c r="O184" s="94" t="s">
        <v>73</v>
      </c>
      <c r="P184" s="85">
        <v>100</v>
      </c>
      <c r="Q184" s="85">
        <v>100</v>
      </c>
      <c r="R184" s="85">
        <v>100</v>
      </c>
      <c r="S184" s="85">
        <v>100</v>
      </c>
      <c r="T184" s="85">
        <v>100</v>
      </c>
      <c r="U184" s="86"/>
      <c r="V184" s="87"/>
      <c r="W184" s="90"/>
      <c r="X184" s="90"/>
      <c r="Y184" s="90"/>
      <c r="Z184" s="90"/>
      <c r="AA184" s="237"/>
      <c r="AB184" s="237"/>
      <c r="AC184" s="237"/>
      <c r="AD184" s="237"/>
      <c r="AE184" s="237"/>
      <c r="AF184" s="237"/>
      <c r="AG184" s="237"/>
      <c r="AH184" s="237"/>
      <c r="AI184" s="237">
        <f t="shared" ref="AI184:AI186" si="49">+EVEN(AE184*6%+AE184)</f>
        <v>0</v>
      </c>
      <c r="AJ184" s="237"/>
      <c r="AK184" s="237"/>
      <c r="AL184" s="237"/>
      <c r="AM184" s="237"/>
      <c r="AN184" s="237"/>
      <c r="AO184" s="237"/>
      <c r="AP184" s="238"/>
      <c r="AQ184" s="237">
        <f t="shared" si="48"/>
        <v>0</v>
      </c>
      <c r="AR184" s="237">
        <f t="shared" si="48"/>
        <v>0</v>
      </c>
      <c r="AS184" s="237">
        <f t="shared" si="48"/>
        <v>0</v>
      </c>
      <c r="AT184" s="237">
        <f t="shared" si="48"/>
        <v>0</v>
      </c>
      <c r="AU184" s="115" t="s">
        <v>61</v>
      </c>
      <c r="AV184" s="86" t="s">
        <v>1043</v>
      </c>
      <c r="AW184" s="86" t="s">
        <v>1047</v>
      </c>
      <c r="AX184" s="96" t="s">
        <v>151</v>
      </c>
      <c r="AY184" s="117" t="s">
        <v>65</v>
      </c>
      <c r="AZ184" s="96" t="s">
        <v>297</v>
      </c>
      <c r="BA184" s="234"/>
      <c r="BB184" s="93" t="s">
        <v>68</v>
      </c>
      <c r="BC184" s="93" t="s">
        <v>107</v>
      </c>
      <c r="BD184" s="93" t="s">
        <v>70</v>
      </c>
    </row>
    <row r="185" spans="1:140" s="69" customFormat="1" ht="48" x14ac:dyDescent="0.2">
      <c r="A185" s="243"/>
      <c r="B185" s="246"/>
      <c r="C185" s="248"/>
      <c r="D185" s="249"/>
      <c r="E185" s="239"/>
      <c r="F185" s="250"/>
      <c r="G185" s="239"/>
      <c r="H185" s="239"/>
      <c r="I185" s="235" t="s">
        <v>1048</v>
      </c>
      <c r="J185" s="236">
        <f>+[5]Pond!AF68</f>
        <v>30</v>
      </c>
      <c r="K185" s="86" t="s">
        <v>1049</v>
      </c>
      <c r="L185" s="85">
        <v>50</v>
      </c>
      <c r="M185" s="94" t="s">
        <v>1050</v>
      </c>
      <c r="N185" s="94" t="s">
        <v>57</v>
      </c>
      <c r="O185" s="94" t="s">
        <v>73</v>
      </c>
      <c r="P185" s="85">
        <v>100</v>
      </c>
      <c r="Q185" s="85">
        <v>100</v>
      </c>
      <c r="R185" s="85">
        <v>100</v>
      </c>
      <c r="S185" s="85">
        <v>100</v>
      </c>
      <c r="T185" s="85">
        <v>100</v>
      </c>
      <c r="U185" s="86" t="s">
        <v>1051</v>
      </c>
      <c r="V185" s="87"/>
      <c r="W185" s="90"/>
      <c r="X185" s="90"/>
      <c r="Y185" s="90"/>
      <c r="Z185" s="90"/>
      <c r="AA185" s="237"/>
      <c r="AB185" s="237"/>
      <c r="AC185" s="237"/>
      <c r="AD185" s="237"/>
      <c r="AE185" s="237"/>
      <c r="AF185" s="237"/>
      <c r="AG185" s="237"/>
      <c r="AH185" s="237"/>
      <c r="AI185" s="237">
        <f t="shared" si="49"/>
        <v>0</v>
      </c>
      <c r="AJ185" s="237"/>
      <c r="AK185" s="237"/>
      <c r="AL185" s="237"/>
      <c r="AM185" s="237"/>
      <c r="AN185" s="237"/>
      <c r="AO185" s="237"/>
      <c r="AP185" s="238"/>
      <c r="AQ185" s="237">
        <f t="shared" si="48"/>
        <v>0</v>
      </c>
      <c r="AR185" s="237">
        <f t="shared" si="48"/>
        <v>0</v>
      </c>
      <c r="AS185" s="237">
        <f t="shared" si="48"/>
        <v>0</v>
      </c>
      <c r="AT185" s="237">
        <f t="shared" si="48"/>
        <v>0</v>
      </c>
      <c r="AU185" s="115" t="s">
        <v>61</v>
      </c>
      <c r="AV185" s="86" t="s">
        <v>85</v>
      </c>
      <c r="AW185" s="69" t="s">
        <v>85</v>
      </c>
      <c r="AX185" s="96" t="s">
        <v>151</v>
      </c>
      <c r="AY185" s="117" t="s">
        <v>65</v>
      </c>
      <c r="AZ185" s="96" t="s">
        <v>297</v>
      </c>
      <c r="BA185" s="234"/>
      <c r="BB185" s="93" t="s">
        <v>68</v>
      </c>
      <c r="BC185" s="93" t="s">
        <v>107</v>
      </c>
      <c r="BD185" s="93" t="s">
        <v>70</v>
      </c>
    </row>
    <row r="186" spans="1:140" s="69" customFormat="1" ht="48" x14ac:dyDescent="0.2">
      <c r="A186" s="244"/>
      <c r="B186" s="247"/>
      <c r="C186" s="248"/>
      <c r="D186" s="249"/>
      <c r="E186" s="239"/>
      <c r="F186" s="250"/>
      <c r="G186" s="239"/>
      <c r="H186" s="239"/>
      <c r="I186" s="235"/>
      <c r="J186" s="236"/>
      <c r="K186" s="86" t="s">
        <v>1052</v>
      </c>
      <c r="L186" s="85">
        <v>50</v>
      </c>
      <c r="M186" s="94" t="s">
        <v>1053</v>
      </c>
      <c r="N186" s="94" t="s">
        <v>57</v>
      </c>
      <c r="O186" s="94" t="s">
        <v>73</v>
      </c>
      <c r="P186" s="85">
        <v>100</v>
      </c>
      <c r="Q186" s="85">
        <v>100</v>
      </c>
      <c r="R186" s="85">
        <v>100</v>
      </c>
      <c r="S186" s="85">
        <v>100</v>
      </c>
      <c r="T186" s="85">
        <v>100</v>
      </c>
      <c r="U186" s="86" t="s">
        <v>1051</v>
      </c>
      <c r="V186" s="87"/>
      <c r="W186" s="90"/>
      <c r="X186" s="90"/>
      <c r="Y186" s="90"/>
      <c r="Z186" s="90"/>
      <c r="AA186" s="237"/>
      <c r="AB186" s="237"/>
      <c r="AC186" s="237"/>
      <c r="AD186" s="237"/>
      <c r="AE186" s="237"/>
      <c r="AF186" s="237"/>
      <c r="AG186" s="237"/>
      <c r="AH186" s="237"/>
      <c r="AI186" s="237">
        <f t="shared" si="49"/>
        <v>0</v>
      </c>
      <c r="AJ186" s="237"/>
      <c r="AK186" s="237"/>
      <c r="AL186" s="237"/>
      <c r="AM186" s="237"/>
      <c r="AN186" s="237"/>
      <c r="AO186" s="237"/>
      <c r="AP186" s="238"/>
      <c r="AQ186" s="237">
        <f t="shared" si="48"/>
        <v>0</v>
      </c>
      <c r="AR186" s="237">
        <f t="shared" si="48"/>
        <v>0</v>
      </c>
      <c r="AS186" s="237">
        <f t="shared" si="48"/>
        <v>0</v>
      </c>
      <c r="AT186" s="237">
        <f t="shared" si="48"/>
        <v>0</v>
      </c>
      <c r="AU186" s="115" t="s">
        <v>61</v>
      </c>
      <c r="AV186" s="86" t="s">
        <v>85</v>
      </c>
      <c r="AW186" s="86" t="s">
        <v>85</v>
      </c>
      <c r="AX186" s="96" t="s">
        <v>151</v>
      </c>
      <c r="AY186" s="117" t="s">
        <v>65</v>
      </c>
      <c r="AZ186" s="96" t="s">
        <v>297</v>
      </c>
      <c r="BA186" s="234"/>
      <c r="BB186" s="93" t="s">
        <v>68</v>
      </c>
      <c r="BC186" s="93" t="s">
        <v>107</v>
      </c>
      <c r="BD186" s="93" t="s">
        <v>70</v>
      </c>
    </row>
    <row r="187" spans="1:140" s="172" customFormat="1" x14ac:dyDescent="0.25">
      <c r="A187" s="218"/>
      <c r="B187" s="219">
        <f>SUM(B4:B186)</f>
        <v>100</v>
      </c>
      <c r="C187" s="219"/>
      <c r="D187" s="219"/>
      <c r="E187" s="220">
        <v>35</v>
      </c>
      <c r="F187" s="221"/>
      <c r="G187" s="221"/>
      <c r="H187" s="221"/>
      <c r="I187" s="222">
        <v>80</v>
      </c>
      <c r="J187" s="223"/>
      <c r="K187" s="224">
        <v>176</v>
      </c>
      <c r="L187" s="225"/>
      <c r="M187" s="224">
        <v>177</v>
      </c>
      <c r="N187" s="226"/>
      <c r="O187" s="226"/>
      <c r="P187" s="226"/>
      <c r="Q187" s="226"/>
      <c r="R187" s="226"/>
      <c r="S187" s="226"/>
      <c r="T187" s="226"/>
      <c r="U187" s="227"/>
      <c r="V187" s="223"/>
      <c r="W187" s="228"/>
      <c r="X187" s="226"/>
      <c r="Y187" s="226"/>
      <c r="Z187" s="226" t="s">
        <v>1054</v>
      </c>
      <c r="AA187" s="229">
        <f t="shared" ref="AA187:AT187" si="50">SUM(AA10:AA186)</f>
        <v>20331673909</v>
      </c>
      <c r="AB187" s="229">
        <f t="shared" si="50"/>
        <v>5177709358</v>
      </c>
      <c r="AC187" s="229">
        <f t="shared" si="50"/>
        <v>5862423590.8500004</v>
      </c>
      <c r="AD187" s="229">
        <f t="shared" si="50"/>
        <v>31371806857.849998</v>
      </c>
      <c r="AE187" s="229">
        <f t="shared" si="50"/>
        <v>19424652658</v>
      </c>
      <c r="AF187" s="229">
        <f t="shared" si="50"/>
        <v>5439600400</v>
      </c>
      <c r="AG187" s="229">
        <f t="shared" si="50"/>
        <v>0</v>
      </c>
      <c r="AH187" s="229">
        <f t="shared" si="50"/>
        <v>24864253058</v>
      </c>
      <c r="AI187" s="229">
        <f t="shared" si="50"/>
        <v>21995582915</v>
      </c>
      <c r="AJ187" s="229">
        <f t="shared" si="50"/>
        <v>5614776424</v>
      </c>
      <c r="AK187" s="229">
        <f t="shared" si="50"/>
        <v>2050000000</v>
      </c>
      <c r="AL187" s="229">
        <f t="shared" si="50"/>
        <v>29660359339</v>
      </c>
      <c r="AM187" s="229">
        <f t="shared" si="50"/>
        <v>24912879047</v>
      </c>
      <c r="AN187" s="229">
        <f t="shared" si="50"/>
        <v>5800463010</v>
      </c>
      <c r="AO187" s="229">
        <f t="shared" si="50"/>
        <v>3150000000</v>
      </c>
      <c r="AP187" s="229">
        <f t="shared" si="50"/>
        <v>33863342057</v>
      </c>
      <c r="AQ187" s="229">
        <f t="shared" si="50"/>
        <v>86664788529</v>
      </c>
      <c r="AR187" s="229">
        <f t="shared" si="50"/>
        <v>22032549192</v>
      </c>
      <c r="AS187" s="229">
        <f t="shared" si="50"/>
        <v>11062423590.85</v>
      </c>
      <c r="AT187" s="229">
        <f t="shared" si="50"/>
        <v>119759761311.85001</v>
      </c>
      <c r="AU187" s="229"/>
      <c r="AV187" s="230"/>
      <c r="AW187" s="231"/>
      <c r="AX187" s="231"/>
      <c r="AY187" s="231"/>
      <c r="AZ187" s="231"/>
      <c r="BA187" s="231"/>
      <c r="BB187" s="232"/>
      <c r="BC187" s="233"/>
      <c r="BD187" s="232"/>
      <c r="BE187" s="171"/>
      <c r="BF187" s="171"/>
      <c r="BG187" s="171"/>
      <c r="BH187" s="171"/>
      <c r="BI187" s="171"/>
      <c r="BJ187" s="171"/>
      <c r="BK187" s="171"/>
      <c r="BL187" s="171"/>
      <c r="BM187" s="171"/>
      <c r="BN187" s="171"/>
      <c r="BO187" s="171"/>
      <c r="BP187" s="171"/>
      <c r="BQ187" s="171"/>
      <c r="BR187" s="171"/>
      <c r="BS187" s="171"/>
      <c r="BT187" s="171"/>
      <c r="BU187" s="171"/>
      <c r="BV187" s="171"/>
      <c r="BW187" s="171"/>
      <c r="BX187" s="171"/>
      <c r="BY187" s="171"/>
      <c r="BZ187" s="171"/>
      <c r="CA187" s="171"/>
      <c r="CB187" s="171"/>
      <c r="CC187" s="171"/>
      <c r="CD187" s="171"/>
      <c r="CE187" s="171"/>
      <c r="CF187" s="171"/>
      <c r="CG187" s="171"/>
      <c r="CH187" s="171"/>
      <c r="CI187" s="171"/>
      <c r="CJ187" s="171"/>
      <c r="CK187" s="171"/>
      <c r="CL187" s="171"/>
      <c r="CM187" s="171"/>
      <c r="CN187" s="171"/>
      <c r="CO187" s="171"/>
      <c r="CP187" s="171"/>
      <c r="CQ187" s="171"/>
      <c r="CR187" s="171"/>
      <c r="CS187" s="171"/>
      <c r="CT187" s="171"/>
      <c r="CU187" s="171"/>
      <c r="CV187" s="171"/>
      <c r="CW187" s="171"/>
      <c r="CX187" s="171"/>
      <c r="CY187" s="171"/>
      <c r="CZ187" s="171"/>
      <c r="DA187" s="171"/>
      <c r="DB187" s="171"/>
      <c r="DC187" s="171"/>
      <c r="DD187" s="171"/>
      <c r="DE187" s="171"/>
      <c r="DF187" s="171"/>
      <c r="DG187" s="171"/>
      <c r="DH187" s="171"/>
      <c r="DI187" s="171"/>
      <c r="DJ187" s="171"/>
      <c r="DK187" s="171"/>
      <c r="DL187" s="171"/>
      <c r="DM187" s="171"/>
      <c r="DN187" s="171"/>
      <c r="DO187" s="171"/>
      <c r="DP187" s="171"/>
      <c r="DQ187" s="171"/>
      <c r="DR187" s="171"/>
      <c r="DS187" s="171"/>
      <c r="DT187" s="171"/>
      <c r="DU187" s="171"/>
      <c r="DV187" s="171"/>
      <c r="DW187" s="171"/>
      <c r="DX187" s="171"/>
      <c r="DY187" s="171"/>
      <c r="DZ187" s="171"/>
      <c r="EA187" s="171"/>
      <c r="EB187" s="171"/>
      <c r="EC187" s="171"/>
      <c r="ED187" s="171"/>
      <c r="EE187" s="171"/>
      <c r="EF187" s="171"/>
      <c r="EG187" s="171"/>
      <c r="EH187" s="171"/>
      <c r="EI187" s="171"/>
      <c r="EJ187" s="171"/>
    </row>
    <row r="188" spans="1:140" ht="12.75" hidden="1" customHeight="1" x14ac:dyDescent="0.25">
      <c r="A188" s="69"/>
      <c r="B188" s="173"/>
      <c r="C188" s="69"/>
      <c r="D188" s="173"/>
      <c r="E188" s="174"/>
      <c r="F188" s="69"/>
      <c r="G188" s="69"/>
      <c r="H188" s="174"/>
      <c r="I188" s="175"/>
      <c r="J188" s="175"/>
      <c r="K188" s="69"/>
      <c r="L188" s="176"/>
      <c r="M188" s="69"/>
      <c r="N188" s="69"/>
      <c r="O188" s="69"/>
      <c r="P188" s="177"/>
      <c r="Q188" s="177"/>
      <c r="R188" s="177"/>
      <c r="S188" s="177"/>
      <c r="T188" s="177"/>
      <c r="U188" s="178"/>
      <c r="V188" s="69"/>
      <c r="W188" s="69"/>
      <c r="X188" s="69"/>
      <c r="Y188" s="69"/>
      <c r="Z188" s="69"/>
      <c r="AA188" s="179">
        <f>+AA187+AA9</f>
        <v>30580854331</v>
      </c>
      <c r="AB188" s="180">
        <f>+AB187+AB9</f>
        <v>8356125358</v>
      </c>
      <c r="AC188" s="180">
        <f>+AC187+AC9</f>
        <v>5862423590.8500004</v>
      </c>
      <c r="AD188" s="179">
        <f>SUM(AA188:AC188)</f>
        <v>44799403279.849998</v>
      </c>
      <c r="AE188" s="179">
        <f>+AE187+AE9</f>
        <v>32499682991</v>
      </c>
      <c r="AF188" s="180">
        <f>+AF187+AF9</f>
        <v>8808721360</v>
      </c>
      <c r="AG188" s="179">
        <f>+AG187+AG9</f>
        <v>0</v>
      </c>
      <c r="AH188" s="179">
        <f>SUM(AE188:AG188)</f>
        <v>41308404351</v>
      </c>
      <c r="AI188" s="179">
        <f>+AI187+AI9</f>
        <v>36399644950</v>
      </c>
      <c r="AJ188" s="180">
        <f>+AJ187+AJ9</f>
        <v>9084971012</v>
      </c>
      <c r="AK188" s="179">
        <f>+AK187+AK9</f>
        <v>2050000000</v>
      </c>
      <c r="AL188" s="179">
        <f>SUM(AI188:AK188)</f>
        <v>47534615962</v>
      </c>
      <c r="AM188" s="179">
        <f>+AM187+AM9</f>
        <v>40767467945</v>
      </c>
      <c r="AN188" s="180">
        <f>+AN187+AN9</f>
        <v>9374763436</v>
      </c>
      <c r="AO188" s="179">
        <f>+AO187+AO9</f>
        <v>3150000000</v>
      </c>
      <c r="AP188" s="179">
        <f>SUM(AM188:AO188)</f>
        <v>53292231381</v>
      </c>
      <c r="AQ188" s="179">
        <f>+AQ187+AQ9</f>
        <v>140247650217</v>
      </c>
      <c r="AR188" s="180">
        <f>+AR187+AR9</f>
        <v>35624581166</v>
      </c>
      <c r="AS188" s="180">
        <f>+AS187+AS9</f>
        <v>11062423590.85</v>
      </c>
      <c r="AT188" s="179">
        <f>SUM(AQ188:AS188)</f>
        <v>186934654973.85001</v>
      </c>
      <c r="AU188" s="179"/>
      <c r="AV188" s="174"/>
    </row>
    <row r="189" spans="1:140" ht="13.5" hidden="1" customHeight="1" thickBot="1" x14ac:dyDescent="0.3">
      <c r="A189" s="69"/>
      <c r="B189" s="173"/>
      <c r="C189" s="69"/>
      <c r="D189" s="173"/>
      <c r="E189" s="174"/>
      <c r="F189" s="69"/>
      <c r="G189" s="69"/>
      <c r="H189" s="174"/>
      <c r="I189" s="182" t="s">
        <v>1055</v>
      </c>
      <c r="J189" s="183"/>
      <c r="K189" s="69"/>
      <c r="L189" s="176"/>
      <c r="M189" s="69"/>
      <c r="N189" s="69"/>
      <c r="O189" s="69"/>
      <c r="P189" s="177"/>
      <c r="Q189" s="177"/>
      <c r="R189" s="177"/>
      <c r="S189" s="177"/>
      <c r="T189" s="177"/>
      <c r="U189" s="178"/>
      <c r="V189" s="69"/>
      <c r="W189" s="69"/>
      <c r="X189" s="69"/>
      <c r="Y189" s="69"/>
      <c r="Z189" s="69"/>
      <c r="AA189" s="184"/>
      <c r="AB189" s="184"/>
      <c r="AC189" s="184"/>
      <c r="AD189" s="184">
        <f>+AD188-(AB187+AC187+AB9+AC9)</f>
        <v>30580854331</v>
      </c>
      <c r="AE189" s="184"/>
      <c r="AF189" s="184"/>
      <c r="AG189" s="184"/>
      <c r="AH189" s="184">
        <f>+AH188-(AF187+AG187+AF9+AG9)</f>
        <v>32499682991</v>
      </c>
      <c r="AI189" s="184"/>
      <c r="AJ189" s="184"/>
      <c r="AK189" s="184"/>
      <c r="AL189" s="184">
        <f>+AL188-(AJ187+AK187+AJ9+AK9)</f>
        <v>36399644950</v>
      </c>
      <c r="AM189" s="184"/>
      <c r="AN189" s="184"/>
      <c r="AO189" s="184"/>
      <c r="AP189" s="184">
        <f>+AP188-(AN187+AO187+AN9+AO9)</f>
        <v>40767467945</v>
      </c>
      <c r="AQ189" s="184"/>
      <c r="AR189" s="184"/>
      <c r="AS189" s="185"/>
      <c r="AT189" s="184">
        <f>+AT188-(AR187+AS187+AR9+AS9)</f>
        <v>140247650217</v>
      </c>
      <c r="AU189" s="179"/>
      <c r="AV189" s="174"/>
    </row>
    <row r="190" spans="1:140" ht="12.75" hidden="1" customHeight="1" x14ac:dyDescent="0.25"/>
    <row r="191" spans="1:140" ht="12.75" hidden="1" customHeight="1" x14ac:dyDescent="0.25">
      <c r="I191" s="191" t="s">
        <v>1056</v>
      </c>
      <c r="J191" s="191"/>
      <c r="K191" s="192"/>
      <c r="L191" s="193"/>
      <c r="M191" s="192"/>
      <c r="N191" s="192"/>
      <c r="O191" s="192"/>
      <c r="P191" s="194"/>
      <c r="Q191" s="194"/>
      <c r="R191" s="194"/>
      <c r="S191" s="194"/>
      <c r="T191" s="194"/>
      <c r="U191" s="195"/>
      <c r="V191" s="196"/>
      <c r="W191" s="192"/>
      <c r="X191" s="192"/>
      <c r="Y191" s="192"/>
      <c r="Z191" s="192"/>
      <c r="AA191" s="197">
        <f>+[5]INGRESOS_2024_2027!H98-AB191-AC191</f>
        <v>30580854331</v>
      </c>
      <c r="AB191" s="197">
        <f>+[5]INGRESOS_2024_2027!H78</f>
        <v>8356125358</v>
      </c>
      <c r="AC191" s="197">
        <f>+[5]INGRESOS_2024_2027!H86</f>
        <v>5862423590.8500004</v>
      </c>
      <c r="AD191" s="197">
        <f>SUM(AA191:AC191)</f>
        <v>44799403279.849998</v>
      </c>
      <c r="AE191" s="197">
        <f>+[5]INGRESOS_2024_2027!J98-AF191-AG191</f>
        <v>32499682991</v>
      </c>
      <c r="AF191" s="197">
        <f>+[5]INGRESOS_2024_2027!J78</f>
        <v>8808721360</v>
      </c>
      <c r="AG191" s="197"/>
      <c r="AH191" s="197">
        <f>SUM(AE191:AG191)</f>
        <v>41308404351</v>
      </c>
      <c r="AI191" s="197">
        <f>+[5]INGRESOS_2024_2027!M98-AJ191-AK191</f>
        <v>36399644950</v>
      </c>
      <c r="AJ191" s="197">
        <f>+[5]INGRESOS_2024_2027!M78</f>
        <v>9084971012</v>
      </c>
      <c r="AK191" s="197">
        <f>+[5]INGRESOS_2024_2027!M90</f>
        <v>2050000000</v>
      </c>
      <c r="AL191" s="197">
        <f>SUM(AI191:AK191)</f>
        <v>47534615962</v>
      </c>
      <c r="AM191" s="197">
        <f>+[5]INGRESOS_2024_2027!P98-AN191-AO191</f>
        <v>40767467945</v>
      </c>
      <c r="AN191" s="197">
        <f>+[5]INGRESOS_2024_2027!P78</f>
        <v>9374763436</v>
      </c>
      <c r="AO191" s="197">
        <f>+[5]INGRESOS_2024_2027!P90</f>
        <v>3150000000</v>
      </c>
      <c r="AP191" s="197">
        <f>SUM(AM191:AO191)</f>
        <v>53292231381</v>
      </c>
      <c r="AQ191" s="197">
        <f>+AA191+AE191+AI191+AM191</f>
        <v>140247650217</v>
      </c>
      <c r="AR191" s="197">
        <f>+AB191+AF191+AJ191+AN191</f>
        <v>35624581166</v>
      </c>
      <c r="AS191" s="197">
        <f>+AC191+AG191+AK191+AO191</f>
        <v>11062423590.85</v>
      </c>
      <c r="AT191" s="197">
        <f>SUM(AQ191:AS191)</f>
        <v>186934654973.85001</v>
      </c>
      <c r="AU191" s="197"/>
    </row>
    <row r="192" spans="1:140" ht="12.75" hidden="1" customHeight="1" x14ac:dyDescent="0.25">
      <c r="I192" s="191" t="s">
        <v>1057</v>
      </c>
      <c r="J192" s="191"/>
      <c r="K192" s="198"/>
      <c r="L192" s="199"/>
      <c r="M192" s="198"/>
      <c r="N192" s="198"/>
      <c r="O192" s="198"/>
      <c r="P192" s="200"/>
      <c r="Q192" s="200"/>
      <c r="R192" s="200"/>
      <c r="S192" s="200"/>
      <c r="T192" s="200"/>
      <c r="U192" s="201"/>
      <c r="W192" s="198"/>
      <c r="X192" s="198"/>
      <c r="Y192" s="198"/>
      <c r="Z192" s="198"/>
      <c r="AA192" s="197">
        <f>+AA191-AA188</f>
        <v>0</v>
      </c>
      <c r="AB192" s="197">
        <f t="shared" ref="AB192:AT192" si="51">+AB191-AB188</f>
        <v>0</v>
      </c>
      <c r="AC192" s="197">
        <f t="shared" si="51"/>
        <v>0</v>
      </c>
      <c r="AD192" s="197">
        <f t="shared" si="51"/>
        <v>0</v>
      </c>
      <c r="AE192" s="197">
        <f>+AE191-AE188</f>
        <v>0</v>
      </c>
      <c r="AF192" s="202">
        <f>+AF191-AF188</f>
        <v>0</v>
      </c>
      <c r="AG192" s="197">
        <f t="shared" si="51"/>
        <v>0</v>
      </c>
      <c r="AH192" s="197">
        <f t="shared" si="51"/>
        <v>0</v>
      </c>
      <c r="AI192" s="202">
        <f>+AI191-AI188</f>
        <v>0</v>
      </c>
      <c r="AJ192" s="202">
        <f>+AJ191-AJ188</f>
        <v>0</v>
      </c>
      <c r="AK192" s="197">
        <f t="shared" si="51"/>
        <v>0</v>
      </c>
      <c r="AL192" s="197">
        <f t="shared" si="51"/>
        <v>0</v>
      </c>
      <c r="AM192" s="202">
        <f>+AM191-AM188</f>
        <v>0</v>
      </c>
      <c r="AN192" s="202">
        <f t="shared" si="51"/>
        <v>0</v>
      </c>
      <c r="AO192" s="197">
        <f t="shared" si="51"/>
        <v>0</v>
      </c>
      <c r="AP192" s="197">
        <f t="shared" si="51"/>
        <v>0</v>
      </c>
      <c r="AQ192" s="202">
        <f t="shared" si="51"/>
        <v>0</v>
      </c>
      <c r="AR192" s="202">
        <f t="shared" si="51"/>
        <v>0</v>
      </c>
      <c r="AS192" s="202">
        <f t="shared" si="51"/>
        <v>0</v>
      </c>
      <c r="AT192" s="197">
        <f t="shared" si="51"/>
        <v>0</v>
      </c>
      <c r="AU192" s="197"/>
    </row>
    <row r="193" spans="27:47" ht="12.75" hidden="1" customHeight="1" x14ac:dyDescent="0.25">
      <c r="AQ193" s="203">
        <f>+AQ187/AT187*100</f>
        <v>72.365532111681546</v>
      </c>
      <c r="AR193" s="203">
        <f>+AR187/AT187*100</f>
        <v>18.397288831119205</v>
      </c>
      <c r="AS193" s="203">
        <f>+AS187/AT187*100</f>
        <v>9.2371790571992349</v>
      </c>
    </row>
    <row r="194" spans="27:47" ht="12.75" hidden="1" customHeight="1" x14ac:dyDescent="0.25">
      <c r="AA194" s="204"/>
      <c r="AD194" s="204">
        <f>+AD187/AD191*100</f>
        <v>70.027287332107164</v>
      </c>
      <c r="AE194" s="204"/>
      <c r="AH194" s="204">
        <f>+AH187/AH191*100</f>
        <v>60.191753829867025</v>
      </c>
      <c r="AI194" s="204">
        <f>+AI187*2%</f>
        <v>439911658.30000001</v>
      </c>
      <c r="AL194" s="204">
        <f>+AL187/AL191*100</f>
        <v>62.397389226224121</v>
      </c>
      <c r="AM194" s="204"/>
      <c r="AP194" s="204">
        <f>+AP187/AP191*100</f>
        <v>63.542736304100636</v>
      </c>
      <c r="AT194" s="204"/>
      <c r="AU194" s="204"/>
    </row>
    <row r="195" spans="27:47" ht="13.5" hidden="1" customHeight="1" thickBot="1" x14ac:dyDescent="0.3">
      <c r="AI195" s="204"/>
    </row>
    <row r="196" spans="27:47" ht="13.5" hidden="1" customHeight="1" thickBot="1" x14ac:dyDescent="0.3">
      <c r="AD196" s="205">
        <v>2105000000</v>
      </c>
      <c r="AE196" s="206"/>
      <c r="AF196" s="206"/>
      <c r="AG196" s="206"/>
      <c r="AH196" s="205">
        <v>2231000000</v>
      </c>
      <c r="AI196" s="206"/>
      <c r="AJ196" s="206"/>
      <c r="AK196" s="206"/>
      <c r="AL196" s="205">
        <v>2454000000</v>
      </c>
      <c r="AM196" s="206"/>
      <c r="AN196" s="206"/>
      <c r="AO196" s="206"/>
      <c r="AP196" s="205">
        <v>2700000000</v>
      </c>
    </row>
  </sheetData>
  <mergeCells count="1113">
    <mergeCell ref="A1:BD1"/>
    <mergeCell ref="A2:A3"/>
    <mergeCell ref="B2:B3"/>
    <mergeCell ref="C2:C3"/>
    <mergeCell ref="D2:D3"/>
    <mergeCell ref="E2:E3"/>
    <mergeCell ref="F2:F3"/>
    <mergeCell ref="G2:G3"/>
    <mergeCell ref="H2:H3"/>
    <mergeCell ref="I2:I3"/>
    <mergeCell ref="BB2:BB3"/>
    <mergeCell ref="BC2:BC3"/>
    <mergeCell ref="BD2:BD3"/>
    <mergeCell ref="F5:F9"/>
    <mergeCell ref="A10:A87"/>
    <mergeCell ref="B10:B87"/>
    <mergeCell ref="C10:C45"/>
    <mergeCell ref="D10:D45"/>
    <mergeCell ref="E10:E17"/>
    <mergeCell ref="F10:F17"/>
    <mergeCell ref="AI2:AL2"/>
    <mergeCell ref="AM2:AP2"/>
    <mergeCell ref="AQ2:AT2"/>
    <mergeCell ref="AU2:AU3"/>
    <mergeCell ref="AV2:AW2"/>
    <mergeCell ref="BA2:BA3"/>
    <mergeCell ref="P2:T2"/>
    <mergeCell ref="U2:U3"/>
    <mergeCell ref="W2:X2"/>
    <mergeCell ref="Y2:Z2"/>
    <mergeCell ref="AA2:AD2"/>
    <mergeCell ref="AE2:AH2"/>
    <mergeCell ref="J2:J3"/>
    <mergeCell ref="K2:K3"/>
    <mergeCell ref="L2:L3"/>
    <mergeCell ref="M2:M3"/>
    <mergeCell ref="N2:N3"/>
    <mergeCell ref="O2:O3"/>
    <mergeCell ref="BA10:BA14"/>
    <mergeCell ref="H15:H17"/>
    <mergeCell ref="I15:I16"/>
    <mergeCell ref="J15:J16"/>
    <mergeCell ref="AA15:AA16"/>
    <mergeCell ref="AB15:AB16"/>
    <mergeCell ref="AC15:AC16"/>
    <mergeCell ref="AD15:AD16"/>
    <mergeCell ref="AE15:AE16"/>
    <mergeCell ref="AF15:AF16"/>
    <mergeCell ref="AO10:AO14"/>
    <mergeCell ref="AP10:AP14"/>
    <mergeCell ref="AQ10:AQ14"/>
    <mergeCell ref="AR10:AR14"/>
    <mergeCell ref="AS10:AS14"/>
    <mergeCell ref="AT10:AT14"/>
    <mergeCell ref="AI10:AI14"/>
    <mergeCell ref="AJ10:AJ14"/>
    <mergeCell ref="AK10:AK14"/>
    <mergeCell ref="AL10:AL14"/>
    <mergeCell ref="AM10:AM14"/>
    <mergeCell ref="AN10:AN14"/>
    <mergeCell ref="AC10:AC14"/>
    <mergeCell ref="AD10:AD14"/>
    <mergeCell ref="AE10:AE14"/>
    <mergeCell ref="AF10:AF14"/>
    <mergeCell ref="AG10:AG14"/>
    <mergeCell ref="AH10:AH14"/>
    <mergeCell ref="H10:H14"/>
    <mergeCell ref="I10:I14"/>
    <mergeCell ref="J10:J14"/>
    <mergeCell ref="AA10:AA14"/>
    <mergeCell ref="AS15:AS16"/>
    <mergeCell ref="AT15:AT16"/>
    <mergeCell ref="BA15:BA16"/>
    <mergeCell ref="E18:E26"/>
    <mergeCell ref="F18:F26"/>
    <mergeCell ref="G18:G26"/>
    <mergeCell ref="H18:H24"/>
    <mergeCell ref="I18:I21"/>
    <mergeCell ref="J18:J21"/>
    <mergeCell ref="AA18:AA21"/>
    <mergeCell ref="AM15:AM16"/>
    <mergeCell ref="AN15:AN16"/>
    <mergeCell ref="AO15:AO16"/>
    <mergeCell ref="AP15:AP16"/>
    <mergeCell ref="AQ15:AQ16"/>
    <mergeCell ref="AR15:AR16"/>
    <mergeCell ref="AG15:AG16"/>
    <mergeCell ref="AH15:AH16"/>
    <mergeCell ref="AI15:AI16"/>
    <mergeCell ref="AJ15:AJ16"/>
    <mergeCell ref="AK15:AK16"/>
    <mergeCell ref="AL15:AL16"/>
    <mergeCell ref="G10:G17"/>
    <mergeCell ref="AB10:AB14"/>
    <mergeCell ref="AT18:AT21"/>
    <mergeCell ref="BA18:BA21"/>
    <mergeCell ref="AN18:AN21"/>
    <mergeCell ref="AO18:AO21"/>
    <mergeCell ref="AP18:AP21"/>
    <mergeCell ref="AQ18:AQ21"/>
    <mergeCell ref="AR18:AR21"/>
    <mergeCell ref="AS18:AS21"/>
    <mergeCell ref="AH18:AH21"/>
    <mergeCell ref="AI18:AI21"/>
    <mergeCell ref="AJ18:AJ21"/>
    <mergeCell ref="AK18:AK21"/>
    <mergeCell ref="AL18:AL21"/>
    <mergeCell ref="AM18:AM21"/>
    <mergeCell ref="AB18:AB21"/>
    <mergeCell ref="AC18:AC21"/>
    <mergeCell ref="AD18:AD21"/>
    <mergeCell ref="AE18:AE21"/>
    <mergeCell ref="AF18:AF21"/>
    <mergeCell ref="AG18:AG21"/>
    <mergeCell ref="H33:H34"/>
    <mergeCell ref="I33:I34"/>
    <mergeCell ref="J33:J34"/>
    <mergeCell ref="AA33:AA34"/>
    <mergeCell ref="AB33:AB34"/>
    <mergeCell ref="AC33:AC34"/>
    <mergeCell ref="AD33:AD34"/>
    <mergeCell ref="AE33:AE34"/>
    <mergeCell ref="AF33:AF34"/>
    <mergeCell ref="AO30:AO31"/>
    <mergeCell ref="AP30:AP31"/>
    <mergeCell ref="AQ30:AQ31"/>
    <mergeCell ref="AR30:AR31"/>
    <mergeCell ref="AS30:AS31"/>
    <mergeCell ref="AT30:AT31"/>
    <mergeCell ref="AI30:AI31"/>
    <mergeCell ref="AJ30:AJ31"/>
    <mergeCell ref="AK30:AK31"/>
    <mergeCell ref="AL30:AL31"/>
    <mergeCell ref="AM30:AM31"/>
    <mergeCell ref="AN30:AN31"/>
    <mergeCell ref="AC30:AC31"/>
    <mergeCell ref="AD30:AD31"/>
    <mergeCell ref="AE30:AE31"/>
    <mergeCell ref="AF30:AF31"/>
    <mergeCell ref="AG30:AG31"/>
    <mergeCell ref="AH30:AH31"/>
    <mergeCell ref="AS33:AS34"/>
    <mergeCell ref="AT33:AT34"/>
    <mergeCell ref="H30:H31"/>
    <mergeCell ref="I30:I31"/>
    <mergeCell ref="J30:J31"/>
    <mergeCell ref="AM33:AM34"/>
    <mergeCell ref="AN33:AN34"/>
    <mergeCell ref="AO33:AO34"/>
    <mergeCell ref="AP33:AP34"/>
    <mergeCell ref="AQ33:AQ34"/>
    <mergeCell ref="AR33:AR34"/>
    <mergeCell ref="AG33:AG34"/>
    <mergeCell ref="AH33:AH34"/>
    <mergeCell ref="AI33:AI34"/>
    <mergeCell ref="AJ33:AJ34"/>
    <mergeCell ref="AK33:AK34"/>
    <mergeCell ref="AL33:AL34"/>
    <mergeCell ref="AQ35:AQ39"/>
    <mergeCell ref="AR35:AR39"/>
    <mergeCell ref="AS35:AS39"/>
    <mergeCell ref="AT35:AT39"/>
    <mergeCell ref="BA30:BA31"/>
    <mergeCell ref="BA33:BA34"/>
    <mergeCell ref="BA35:BA39"/>
    <mergeCell ref="E44:E45"/>
    <mergeCell ref="F44:F45"/>
    <mergeCell ref="G44:G45"/>
    <mergeCell ref="H44:H45"/>
    <mergeCell ref="AA44:AA45"/>
    <mergeCell ref="AK35:AK39"/>
    <mergeCell ref="AL35:AL39"/>
    <mergeCell ref="AM35:AM39"/>
    <mergeCell ref="AN35:AN39"/>
    <mergeCell ref="AO35:AO39"/>
    <mergeCell ref="AP35:AP39"/>
    <mergeCell ref="AE35:AE39"/>
    <mergeCell ref="AF35:AF39"/>
    <mergeCell ref="AG35:AG39"/>
    <mergeCell ref="AH35:AH39"/>
    <mergeCell ref="AI35:AI39"/>
    <mergeCell ref="AJ35:AJ39"/>
    <mergeCell ref="AT44:AT45"/>
    <mergeCell ref="BA44:BA45"/>
    <mergeCell ref="AD35:AD39"/>
    <mergeCell ref="E28:E42"/>
    <mergeCell ref="F28:F42"/>
    <mergeCell ref="G28:G42"/>
    <mergeCell ref="AA30:AA31"/>
    <mergeCell ref="AB30:AB31"/>
    <mergeCell ref="H35:H39"/>
    <mergeCell ref="I35:I39"/>
    <mergeCell ref="J35:J39"/>
    <mergeCell ref="AA35:AA39"/>
    <mergeCell ref="AB35:AB39"/>
    <mergeCell ref="AC35:AC39"/>
    <mergeCell ref="AN44:AN45"/>
    <mergeCell ref="AO44:AO45"/>
    <mergeCell ref="AP44:AP45"/>
    <mergeCell ref="AQ44:AQ45"/>
    <mergeCell ref="AR44:AR45"/>
    <mergeCell ref="AS44:AS45"/>
    <mergeCell ref="AH44:AH45"/>
    <mergeCell ref="AI44:AI45"/>
    <mergeCell ref="AJ44:AJ45"/>
    <mergeCell ref="AK44:AK45"/>
    <mergeCell ref="AL44:AL45"/>
    <mergeCell ref="AM44:AM45"/>
    <mergeCell ref="AB44:AB45"/>
    <mergeCell ref="AC44:AC45"/>
    <mergeCell ref="AD44:AD45"/>
    <mergeCell ref="AE44:AE45"/>
    <mergeCell ref="AF44:AF45"/>
    <mergeCell ref="AG44:AG45"/>
    <mergeCell ref="AI48:AI51"/>
    <mergeCell ref="AJ48:AJ51"/>
    <mergeCell ref="H48:H51"/>
    <mergeCell ref="I48:I51"/>
    <mergeCell ref="J48:J51"/>
    <mergeCell ref="AA48:AA51"/>
    <mergeCell ref="AD48:AD51"/>
    <mergeCell ref="AC54:AC55"/>
    <mergeCell ref="AD54:AD55"/>
    <mergeCell ref="AQ54:AQ55"/>
    <mergeCell ref="AR54:AR55"/>
    <mergeCell ref="AS54:AS55"/>
    <mergeCell ref="AT54:AT55"/>
    <mergeCell ref="BA54:BA55"/>
    <mergeCell ref="C46:C66"/>
    <mergeCell ref="D46:D66"/>
    <mergeCell ref="E46:E47"/>
    <mergeCell ref="F46:F47"/>
    <mergeCell ref="G46:G47"/>
    <mergeCell ref="H46:H47"/>
    <mergeCell ref="E48:E55"/>
    <mergeCell ref="F48:F55"/>
    <mergeCell ref="AQ48:AQ51"/>
    <mergeCell ref="AR48:AR51"/>
    <mergeCell ref="AS48:AS51"/>
    <mergeCell ref="E56:E59"/>
    <mergeCell ref="F56:F59"/>
    <mergeCell ref="G56:G59"/>
    <mergeCell ref="AK54:AK55"/>
    <mergeCell ref="AL54:AL55"/>
    <mergeCell ref="AM54:AM55"/>
    <mergeCell ref="AN54:AN55"/>
    <mergeCell ref="AO54:AO55"/>
    <mergeCell ref="AP54:AP55"/>
    <mergeCell ref="AE54:AE55"/>
    <mergeCell ref="AF54:AF55"/>
    <mergeCell ref="AG54:AG55"/>
    <mergeCell ref="AH54:AH55"/>
    <mergeCell ref="AI54:AI55"/>
    <mergeCell ref="AJ54:AJ55"/>
    <mergeCell ref="G48:G55"/>
    <mergeCell ref="AE60:AE66"/>
    <mergeCell ref="AF60:AF66"/>
    <mergeCell ref="AT48:AT51"/>
    <mergeCell ref="BA48:BA51"/>
    <mergeCell ref="H54:H55"/>
    <mergeCell ref="I54:I55"/>
    <mergeCell ref="J54:J55"/>
    <mergeCell ref="AA54:AA55"/>
    <mergeCell ref="AB54:AB55"/>
    <mergeCell ref="AK48:AK51"/>
    <mergeCell ref="AL48:AL51"/>
    <mergeCell ref="AM48:AM51"/>
    <mergeCell ref="AN48:AN51"/>
    <mergeCell ref="AO48:AO51"/>
    <mergeCell ref="AP48:AP51"/>
    <mergeCell ref="AE48:AE51"/>
    <mergeCell ref="AF48:AF51"/>
    <mergeCell ref="AG48:AG51"/>
    <mergeCell ref="AH48:AH51"/>
    <mergeCell ref="AR56:AR59"/>
    <mergeCell ref="AS56:AS59"/>
    <mergeCell ref="AT56:AT59"/>
    <mergeCell ref="BA56:BA59"/>
    <mergeCell ref="F60:F66"/>
    <mergeCell ref="G60:G66"/>
    <mergeCell ref="H60:H66"/>
    <mergeCell ref="I60:I66"/>
    <mergeCell ref="J60:J66"/>
    <mergeCell ref="AL56:AL59"/>
    <mergeCell ref="AM56:AM59"/>
    <mergeCell ref="AN56:AN59"/>
    <mergeCell ref="AO56:AO59"/>
    <mergeCell ref="AP56:AP59"/>
    <mergeCell ref="AQ56:AQ59"/>
    <mergeCell ref="AF56:AF59"/>
    <mergeCell ref="AG56:AG59"/>
    <mergeCell ref="AH56:AH59"/>
    <mergeCell ref="AI56:AI59"/>
    <mergeCell ref="AJ56:AJ59"/>
    <mergeCell ref="AK56:AK59"/>
    <mergeCell ref="J56:J59"/>
    <mergeCell ref="AA56:AA59"/>
    <mergeCell ref="AB56:AB59"/>
    <mergeCell ref="AC56:AC59"/>
    <mergeCell ref="AD56:AD59"/>
    <mergeCell ref="AE56:AE59"/>
    <mergeCell ref="H56:H59"/>
    <mergeCell ref="I56:I59"/>
    <mergeCell ref="AS60:AS66"/>
    <mergeCell ref="AT60:AT66"/>
    <mergeCell ref="BA60:BA66"/>
    <mergeCell ref="K64:K65"/>
    <mergeCell ref="L64:L65"/>
    <mergeCell ref="C67:C83"/>
    <mergeCell ref="D67:D83"/>
    <mergeCell ref="E67:E71"/>
    <mergeCell ref="F67:F71"/>
    <mergeCell ref="G67:G71"/>
    <mergeCell ref="AM60:AM66"/>
    <mergeCell ref="AN60:AN66"/>
    <mergeCell ref="AO60:AO66"/>
    <mergeCell ref="AP60:AP66"/>
    <mergeCell ref="AQ60:AQ66"/>
    <mergeCell ref="AR60:AR66"/>
    <mergeCell ref="AG60:AG66"/>
    <mergeCell ref="AH60:AH66"/>
    <mergeCell ref="AI60:AI66"/>
    <mergeCell ref="AJ60:AJ66"/>
    <mergeCell ref="AK60:AK66"/>
    <mergeCell ref="AL60:AL66"/>
    <mergeCell ref="AA60:AA66"/>
    <mergeCell ref="AB60:AB66"/>
    <mergeCell ref="AC60:AC66"/>
    <mergeCell ref="AD60:AD66"/>
    <mergeCell ref="E72:E74"/>
    <mergeCell ref="F72:F74"/>
    <mergeCell ref="G72:G74"/>
    <mergeCell ref="H72:H74"/>
    <mergeCell ref="I72:I74"/>
    <mergeCell ref="E60:E66"/>
    <mergeCell ref="AS67:AS71"/>
    <mergeCell ref="AT67:AT71"/>
    <mergeCell ref="BA67:BA71"/>
    <mergeCell ref="AJ67:AJ71"/>
    <mergeCell ref="AK67:AK71"/>
    <mergeCell ref="AL67:AL71"/>
    <mergeCell ref="AM67:AM71"/>
    <mergeCell ref="AN67:AN71"/>
    <mergeCell ref="AO67:AO71"/>
    <mergeCell ref="AD67:AD71"/>
    <mergeCell ref="AE67:AE71"/>
    <mergeCell ref="AF67:AF71"/>
    <mergeCell ref="AG67:AG71"/>
    <mergeCell ref="AH67:AH71"/>
    <mergeCell ref="AI67:AI71"/>
    <mergeCell ref="AS72:AS74"/>
    <mergeCell ref="AT72:AT74"/>
    <mergeCell ref="BA72:BA74"/>
    <mergeCell ref="H67:H71"/>
    <mergeCell ref="I67:I71"/>
    <mergeCell ref="J67:J71"/>
    <mergeCell ref="AA67:AA71"/>
    <mergeCell ref="AB67:AB71"/>
    <mergeCell ref="H76:H78"/>
    <mergeCell ref="I77:I78"/>
    <mergeCell ref="J77:J78"/>
    <mergeCell ref="AA77:AA78"/>
    <mergeCell ref="AM72:AM74"/>
    <mergeCell ref="AN72:AN74"/>
    <mergeCell ref="AO72:AO74"/>
    <mergeCell ref="AP72:AP74"/>
    <mergeCell ref="AQ72:AQ74"/>
    <mergeCell ref="AR72:AR74"/>
    <mergeCell ref="AG72:AG74"/>
    <mergeCell ref="AH72:AH74"/>
    <mergeCell ref="AI72:AI74"/>
    <mergeCell ref="AJ72:AJ74"/>
    <mergeCell ref="AK72:AK74"/>
    <mergeCell ref="AL72:AL74"/>
    <mergeCell ref="AA72:AA74"/>
    <mergeCell ref="AB72:AB74"/>
    <mergeCell ref="AC72:AC74"/>
    <mergeCell ref="AD72:AD74"/>
    <mergeCell ref="AE72:AE74"/>
    <mergeCell ref="AF72:AF74"/>
    <mergeCell ref="J72:J74"/>
    <mergeCell ref="AP67:AP71"/>
    <mergeCell ref="AQ67:AQ71"/>
    <mergeCell ref="AR67:AR71"/>
    <mergeCell ref="AC67:AC71"/>
    <mergeCell ref="AT77:AT78"/>
    <mergeCell ref="BA77:BA78"/>
    <mergeCell ref="E79:E83"/>
    <mergeCell ref="F79:F83"/>
    <mergeCell ref="G79:G83"/>
    <mergeCell ref="H79:H82"/>
    <mergeCell ref="I79:I82"/>
    <mergeCell ref="J79:J82"/>
    <mergeCell ref="AA79:AA82"/>
    <mergeCell ref="AB79:AB82"/>
    <mergeCell ref="AN77:AN78"/>
    <mergeCell ref="AO77:AO78"/>
    <mergeCell ref="AP77:AP78"/>
    <mergeCell ref="AQ77:AQ78"/>
    <mergeCell ref="AR77:AR78"/>
    <mergeCell ref="AS77:AS78"/>
    <mergeCell ref="AH77:AH78"/>
    <mergeCell ref="AI77:AI78"/>
    <mergeCell ref="AJ77:AJ78"/>
    <mergeCell ref="AK77:AK78"/>
    <mergeCell ref="AL77:AL78"/>
    <mergeCell ref="AM77:AM78"/>
    <mergeCell ref="AB77:AB78"/>
    <mergeCell ref="AC77:AC78"/>
    <mergeCell ref="AD77:AD78"/>
    <mergeCell ref="AE77:AE78"/>
    <mergeCell ref="AF77:AF78"/>
    <mergeCell ref="AG77:AG78"/>
    <mergeCell ref="BA79:BA82"/>
    <mergeCell ref="E75:E78"/>
    <mergeCell ref="F75:F78"/>
    <mergeCell ref="G75:G78"/>
    <mergeCell ref="C84:C87"/>
    <mergeCell ref="D84:D87"/>
    <mergeCell ref="E84:E85"/>
    <mergeCell ref="F84:F85"/>
    <mergeCell ref="G84:G85"/>
    <mergeCell ref="H84:H85"/>
    <mergeCell ref="I84:I85"/>
    <mergeCell ref="J84:J85"/>
    <mergeCell ref="AA84:AA85"/>
    <mergeCell ref="AO79:AO82"/>
    <mergeCell ref="AP79:AP82"/>
    <mergeCell ref="AQ79:AQ82"/>
    <mergeCell ref="AR79:AR82"/>
    <mergeCell ref="AS79:AS82"/>
    <mergeCell ref="AT79:AT82"/>
    <mergeCell ref="AI79:AI82"/>
    <mergeCell ref="AJ79:AJ82"/>
    <mergeCell ref="AK79:AK82"/>
    <mergeCell ref="AL79:AL82"/>
    <mergeCell ref="AM79:AM82"/>
    <mergeCell ref="AN79:AN82"/>
    <mergeCell ref="AC79:AC82"/>
    <mergeCell ref="AD79:AD82"/>
    <mergeCell ref="AE79:AE82"/>
    <mergeCell ref="AF79:AF82"/>
    <mergeCell ref="AG79:AG82"/>
    <mergeCell ref="AH79:AH82"/>
    <mergeCell ref="AT84:AT85"/>
    <mergeCell ref="BA84:BA85"/>
    <mergeCell ref="A88:A100"/>
    <mergeCell ref="B88:B100"/>
    <mergeCell ref="C88:C100"/>
    <mergeCell ref="D88:D100"/>
    <mergeCell ref="E88:E93"/>
    <mergeCell ref="F88:F93"/>
    <mergeCell ref="G88:G93"/>
    <mergeCell ref="H88:H93"/>
    <mergeCell ref="AN84:AN85"/>
    <mergeCell ref="AO84:AO85"/>
    <mergeCell ref="AP84:AP85"/>
    <mergeCell ref="AQ84:AQ85"/>
    <mergeCell ref="AR84:AR85"/>
    <mergeCell ref="AS84:AS85"/>
    <mergeCell ref="AH84:AH85"/>
    <mergeCell ref="AI84:AI85"/>
    <mergeCell ref="AJ84:AJ85"/>
    <mergeCell ref="AK84:AK85"/>
    <mergeCell ref="AL84:AL85"/>
    <mergeCell ref="AM84:AM85"/>
    <mergeCell ref="AB84:AB85"/>
    <mergeCell ref="AC84:AC85"/>
    <mergeCell ref="AD84:AD85"/>
    <mergeCell ref="AE84:AE85"/>
    <mergeCell ref="AF84:AF85"/>
    <mergeCell ref="AG84:AG85"/>
    <mergeCell ref="AQ88:AQ93"/>
    <mergeCell ref="AR88:AR93"/>
    <mergeCell ref="AS88:AS93"/>
    <mergeCell ref="AT88:AT93"/>
    <mergeCell ref="BA88:BA93"/>
    <mergeCell ref="F94:F97"/>
    <mergeCell ref="G94:G97"/>
    <mergeCell ref="H94:H97"/>
    <mergeCell ref="I94:I97"/>
    <mergeCell ref="AK88:AK93"/>
    <mergeCell ref="AL88:AL93"/>
    <mergeCell ref="AM88:AM93"/>
    <mergeCell ref="AN88:AN93"/>
    <mergeCell ref="AO88:AO93"/>
    <mergeCell ref="AP88:AP93"/>
    <mergeCell ref="AE88:AE93"/>
    <mergeCell ref="AF88:AF93"/>
    <mergeCell ref="AG88:AG93"/>
    <mergeCell ref="AH88:AH93"/>
    <mergeCell ref="AI88:AI93"/>
    <mergeCell ref="AJ88:AJ93"/>
    <mergeCell ref="I88:I93"/>
    <mergeCell ref="J88:J93"/>
    <mergeCell ref="AA88:AA93"/>
    <mergeCell ref="AB88:AB93"/>
    <mergeCell ref="AC88:AC93"/>
    <mergeCell ref="AD88:AD93"/>
    <mergeCell ref="AR94:AR97"/>
    <mergeCell ref="AS94:AS97"/>
    <mergeCell ref="AT94:AT97"/>
    <mergeCell ref="BA94:BA97"/>
    <mergeCell ref="E98:E100"/>
    <mergeCell ref="F98:F100"/>
    <mergeCell ref="G98:G100"/>
    <mergeCell ref="H98:H100"/>
    <mergeCell ref="I98:I100"/>
    <mergeCell ref="J98:J100"/>
    <mergeCell ref="AL94:AL97"/>
    <mergeCell ref="AM94:AM97"/>
    <mergeCell ref="AN94:AN97"/>
    <mergeCell ref="AO94:AO97"/>
    <mergeCell ref="AP94:AP97"/>
    <mergeCell ref="AQ94:AQ97"/>
    <mergeCell ref="AF94:AF97"/>
    <mergeCell ref="AG94:AG97"/>
    <mergeCell ref="AH94:AH97"/>
    <mergeCell ref="AI94:AI97"/>
    <mergeCell ref="AJ94:AJ97"/>
    <mergeCell ref="AK94:AK97"/>
    <mergeCell ref="J94:J97"/>
    <mergeCell ref="AA94:AA97"/>
    <mergeCell ref="AB94:AB97"/>
    <mergeCell ref="AC94:AC97"/>
    <mergeCell ref="AD94:AD97"/>
    <mergeCell ref="AE94:AE97"/>
    <mergeCell ref="AS98:AS100"/>
    <mergeCell ref="AT98:AT100"/>
    <mergeCell ref="BA98:BA100"/>
    <mergeCell ref="E94:E97"/>
    <mergeCell ref="A101:A129"/>
    <mergeCell ref="B101:B129"/>
    <mergeCell ref="C101:C129"/>
    <mergeCell ref="D101:D129"/>
    <mergeCell ref="E101:E112"/>
    <mergeCell ref="F101:F112"/>
    <mergeCell ref="G101:G112"/>
    <mergeCell ref="AM98:AM100"/>
    <mergeCell ref="AN98:AN100"/>
    <mergeCell ref="AO98:AO100"/>
    <mergeCell ref="AP98:AP100"/>
    <mergeCell ref="AQ98:AQ100"/>
    <mergeCell ref="AR98:AR100"/>
    <mergeCell ref="AG98:AG100"/>
    <mergeCell ref="AH98:AH100"/>
    <mergeCell ref="AI98:AI100"/>
    <mergeCell ref="AJ98:AJ100"/>
    <mergeCell ref="AK98:AK100"/>
    <mergeCell ref="AL98:AL100"/>
    <mergeCell ref="AA98:AA100"/>
    <mergeCell ref="AB98:AB100"/>
    <mergeCell ref="AC98:AC100"/>
    <mergeCell ref="AD98:AD100"/>
    <mergeCell ref="AE98:AE100"/>
    <mergeCell ref="AF98:AF100"/>
    <mergeCell ref="AP101:AP106"/>
    <mergeCell ref="AQ101:AQ106"/>
    <mergeCell ref="AR101:AR106"/>
    <mergeCell ref="AJ107:AJ108"/>
    <mergeCell ref="AK107:AK108"/>
    <mergeCell ref="AL107:AL108"/>
    <mergeCell ref="AM107:AM108"/>
    <mergeCell ref="AS101:AS106"/>
    <mergeCell ref="AT101:AT106"/>
    <mergeCell ref="BA101:BA106"/>
    <mergeCell ref="AJ101:AJ106"/>
    <mergeCell ref="AK101:AK106"/>
    <mergeCell ref="AL101:AL106"/>
    <mergeCell ref="AM101:AM106"/>
    <mergeCell ref="AN101:AN106"/>
    <mergeCell ref="AO101:AO106"/>
    <mergeCell ref="AD101:AD106"/>
    <mergeCell ref="AE101:AE106"/>
    <mergeCell ref="AF101:AF106"/>
    <mergeCell ref="AG101:AG106"/>
    <mergeCell ref="AH101:AH106"/>
    <mergeCell ref="AI101:AI106"/>
    <mergeCell ref="BA107:BA108"/>
    <mergeCell ref="I109:I111"/>
    <mergeCell ref="J109:J111"/>
    <mergeCell ref="AA109:AA111"/>
    <mergeCell ref="AB109:AB111"/>
    <mergeCell ref="AC109:AC111"/>
    <mergeCell ref="AD109:AD111"/>
    <mergeCell ref="AE109:AE111"/>
    <mergeCell ref="AF109:AF111"/>
    <mergeCell ref="AG109:AG111"/>
    <mergeCell ref="AO107:AO108"/>
    <mergeCell ref="AP107:AP108"/>
    <mergeCell ref="AQ107:AQ108"/>
    <mergeCell ref="AR107:AR108"/>
    <mergeCell ref="AS107:AS108"/>
    <mergeCell ref="AT107:AT108"/>
    <mergeCell ref="AI107:AI108"/>
    <mergeCell ref="AN107:AN108"/>
    <mergeCell ref="AC107:AC108"/>
    <mergeCell ref="AD107:AD108"/>
    <mergeCell ref="AE107:AE108"/>
    <mergeCell ref="AF107:AF108"/>
    <mergeCell ref="AG107:AG108"/>
    <mergeCell ref="AH107:AH108"/>
    <mergeCell ref="I107:I108"/>
    <mergeCell ref="J107:J108"/>
    <mergeCell ref="AA107:AA108"/>
    <mergeCell ref="AB107:AB108"/>
    <mergeCell ref="AT109:AT111"/>
    <mergeCell ref="BA109:BA111"/>
    <mergeCell ref="E113:E117"/>
    <mergeCell ref="F113:F117"/>
    <mergeCell ref="G113:G117"/>
    <mergeCell ref="H113:H115"/>
    <mergeCell ref="I113:I115"/>
    <mergeCell ref="J113:J115"/>
    <mergeCell ref="AA113:AA115"/>
    <mergeCell ref="AB113:AB115"/>
    <mergeCell ref="AN109:AN111"/>
    <mergeCell ref="AO109:AO111"/>
    <mergeCell ref="AP109:AP111"/>
    <mergeCell ref="AQ109:AQ111"/>
    <mergeCell ref="AR109:AR111"/>
    <mergeCell ref="AS109:AS111"/>
    <mergeCell ref="AH109:AH111"/>
    <mergeCell ref="AI109:AI111"/>
    <mergeCell ref="AJ109:AJ111"/>
    <mergeCell ref="AK109:AK111"/>
    <mergeCell ref="AL109:AL111"/>
    <mergeCell ref="AM109:AM111"/>
    <mergeCell ref="H101:H111"/>
    <mergeCell ref="I101:I106"/>
    <mergeCell ref="J101:J106"/>
    <mergeCell ref="AA101:AA106"/>
    <mergeCell ref="AB101:AB106"/>
    <mergeCell ref="AC101:AC106"/>
    <mergeCell ref="BA113:BA115"/>
    <mergeCell ref="E118:E124"/>
    <mergeCell ref="F118:F124"/>
    <mergeCell ref="G118:G124"/>
    <mergeCell ref="H118:H120"/>
    <mergeCell ref="I118:I121"/>
    <mergeCell ref="J118:J121"/>
    <mergeCell ref="AA118:AA121"/>
    <mergeCell ref="AB118:AB121"/>
    <mergeCell ref="AC118:AC121"/>
    <mergeCell ref="AO113:AO115"/>
    <mergeCell ref="AP113:AP115"/>
    <mergeCell ref="AQ113:AQ115"/>
    <mergeCell ref="AR113:AR115"/>
    <mergeCell ref="AS113:AS115"/>
    <mergeCell ref="AT113:AT115"/>
    <mergeCell ref="AI113:AI115"/>
    <mergeCell ref="AJ113:AJ115"/>
    <mergeCell ref="AK113:AK115"/>
    <mergeCell ref="AL113:AL115"/>
    <mergeCell ref="AM113:AM115"/>
    <mergeCell ref="AN113:AN115"/>
    <mergeCell ref="AC113:AC115"/>
    <mergeCell ref="AD113:AD115"/>
    <mergeCell ref="AE113:AE115"/>
    <mergeCell ref="AF113:AF115"/>
    <mergeCell ref="AG113:AG115"/>
    <mergeCell ref="AH113:AH115"/>
    <mergeCell ref="H121:H124"/>
    <mergeCell ref="I122:I124"/>
    <mergeCell ref="J122:J124"/>
    <mergeCell ref="AA122:AA124"/>
    <mergeCell ref="AB122:AB124"/>
    <mergeCell ref="AC122:AC124"/>
    <mergeCell ref="AP118:AP121"/>
    <mergeCell ref="AQ118:AQ121"/>
    <mergeCell ref="AR118:AR121"/>
    <mergeCell ref="AS118:AS121"/>
    <mergeCell ref="AT118:AT121"/>
    <mergeCell ref="BA118:BA121"/>
    <mergeCell ref="AJ118:AJ121"/>
    <mergeCell ref="AK118:AK121"/>
    <mergeCell ref="AL118:AL121"/>
    <mergeCell ref="AM118:AM121"/>
    <mergeCell ref="AN118:AN121"/>
    <mergeCell ref="AO118:AO121"/>
    <mergeCell ref="AD118:AD121"/>
    <mergeCell ref="AE118:AE121"/>
    <mergeCell ref="AF118:AF121"/>
    <mergeCell ref="AG118:AG121"/>
    <mergeCell ref="AH118:AH121"/>
    <mergeCell ref="AI118:AI121"/>
    <mergeCell ref="AP122:AP124"/>
    <mergeCell ref="AQ122:AQ124"/>
    <mergeCell ref="AR122:AR124"/>
    <mergeCell ref="AS122:AS124"/>
    <mergeCell ref="AT122:AT124"/>
    <mergeCell ref="BA122:BA124"/>
    <mergeCell ref="AJ122:AJ124"/>
    <mergeCell ref="AK122:AK124"/>
    <mergeCell ref="AL122:AL124"/>
    <mergeCell ref="AM122:AM124"/>
    <mergeCell ref="AN122:AN124"/>
    <mergeCell ref="AO122:AO124"/>
    <mergeCell ref="AD122:AD124"/>
    <mergeCell ref="AE122:AE124"/>
    <mergeCell ref="AF122:AF124"/>
    <mergeCell ref="AG122:AG124"/>
    <mergeCell ref="AH122:AH124"/>
    <mergeCell ref="AI122:AI124"/>
    <mergeCell ref="AS126:AS127"/>
    <mergeCell ref="AT126:AT127"/>
    <mergeCell ref="BA126:BA127"/>
    <mergeCell ref="E128:E129"/>
    <mergeCell ref="F128:F129"/>
    <mergeCell ref="G128:G129"/>
    <mergeCell ref="AM126:AM127"/>
    <mergeCell ref="AN126:AN127"/>
    <mergeCell ref="AO126:AO127"/>
    <mergeCell ref="AP126:AP127"/>
    <mergeCell ref="AQ126:AQ127"/>
    <mergeCell ref="AR126:AR127"/>
    <mergeCell ref="AG126:AG127"/>
    <mergeCell ref="AH126:AH127"/>
    <mergeCell ref="AI126:AI127"/>
    <mergeCell ref="AJ126:AJ127"/>
    <mergeCell ref="AK126:AK127"/>
    <mergeCell ref="AL126:AL127"/>
    <mergeCell ref="AA126:AA127"/>
    <mergeCell ref="AB126:AB127"/>
    <mergeCell ref="AC126:AC127"/>
    <mergeCell ref="AD126:AD127"/>
    <mergeCell ref="AE126:AE127"/>
    <mergeCell ref="AF126:AF127"/>
    <mergeCell ref="E125:E127"/>
    <mergeCell ref="F125:F127"/>
    <mergeCell ref="G125:G127"/>
    <mergeCell ref="H126:H127"/>
    <mergeCell ref="I126:I127"/>
    <mergeCell ref="J126:J127"/>
    <mergeCell ref="BA130:BA131"/>
    <mergeCell ref="H132:H134"/>
    <mergeCell ref="I132:I134"/>
    <mergeCell ref="J132:J134"/>
    <mergeCell ref="AA132:AA134"/>
    <mergeCell ref="AB132:AB134"/>
    <mergeCell ref="AC132:AC134"/>
    <mergeCell ref="AD132:AD134"/>
    <mergeCell ref="AE132:AE134"/>
    <mergeCell ref="AH132:AH134"/>
    <mergeCell ref="AO130:AO131"/>
    <mergeCell ref="AP130:AP131"/>
    <mergeCell ref="AQ130:AQ131"/>
    <mergeCell ref="AR130:AR131"/>
    <mergeCell ref="AS130:AS131"/>
    <mergeCell ref="AT130:AT131"/>
    <mergeCell ref="AI130:AI131"/>
    <mergeCell ref="AJ130:AJ131"/>
    <mergeCell ref="AK130:AK131"/>
    <mergeCell ref="AL130:AL131"/>
    <mergeCell ref="AM130:AM131"/>
    <mergeCell ref="AN130:AN131"/>
    <mergeCell ref="AC130:AC131"/>
    <mergeCell ref="AD130:AD131"/>
    <mergeCell ref="AE130:AE131"/>
    <mergeCell ref="AF130:AF131"/>
    <mergeCell ref="AG130:AG131"/>
    <mergeCell ref="AH130:AH131"/>
    <mergeCell ref="H130:H131"/>
    <mergeCell ref="I130:I131"/>
    <mergeCell ref="J130:J131"/>
    <mergeCell ref="AA130:AA131"/>
    <mergeCell ref="BA132:BA134"/>
    <mergeCell ref="A135:A182"/>
    <mergeCell ref="B135:B182"/>
    <mergeCell ref="C135:C182"/>
    <mergeCell ref="D135:D182"/>
    <mergeCell ref="E135:E143"/>
    <mergeCell ref="F135:F143"/>
    <mergeCell ref="G135:G143"/>
    <mergeCell ref="H135:H137"/>
    <mergeCell ref="I135:I137"/>
    <mergeCell ref="AO132:AO134"/>
    <mergeCell ref="AP132:AP134"/>
    <mergeCell ref="AQ132:AQ134"/>
    <mergeCell ref="AR132:AR134"/>
    <mergeCell ref="AS132:AS134"/>
    <mergeCell ref="AT132:AT134"/>
    <mergeCell ref="AI132:AI134"/>
    <mergeCell ref="AJ132:AJ134"/>
    <mergeCell ref="AK132:AK134"/>
    <mergeCell ref="AL132:AL134"/>
    <mergeCell ref="AM132:AM134"/>
    <mergeCell ref="AN132:AN134"/>
    <mergeCell ref="G130:G134"/>
    <mergeCell ref="AB130:AB131"/>
    <mergeCell ref="A130:A134"/>
    <mergeCell ref="B130:B134"/>
    <mergeCell ref="C130:C134"/>
    <mergeCell ref="D130:D134"/>
    <mergeCell ref="E130:E134"/>
    <mergeCell ref="F130:F134"/>
    <mergeCell ref="AR135:AR137"/>
    <mergeCell ref="AS135:AS137"/>
    <mergeCell ref="AT135:AT137"/>
    <mergeCell ref="BA135:BA137"/>
    <mergeCell ref="H138:H143"/>
    <mergeCell ref="I138:I143"/>
    <mergeCell ref="J138:J143"/>
    <mergeCell ref="AA138:AA143"/>
    <mergeCell ref="AB138:AB143"/>
    <mergeCell ref="AC138:AC143"/>
    <mergeCell ref="AL135:AL137"/>
    <mergeCell ref="AM135:AM137"/>
    <mergeCell ref="AN135:AN137"/>
    <mergeCell ref="AO135:AO137"/>
    <mergeCell ref="AP135:AP137"/>
    <mergeCell ref="AQ135:AQ137"/>
    <mergeCell ref="AF135:AF137"/>
    <mergeCell ref="AG135:AG137"/>
    <mergeCell ref="AH135:AH137"/>
    <mergeCell ref="AI135:AI137"/>
    <mergeCell ref="AJ135:AJ137"/>
    <mergeCell ref="AK135:AK137"/>
    <mergeCell ref="J135:J137"/>
    <mergeCell ref="I144:I146"/>
    <mergeCell ref="J144:J146"/>
    <mergeCell ref="AA135:AA137"/>
    <mergeCell ref="AB135:AB137"/>
    <mergeCell ref="AC135:AC137"/>
    <mergeCell ref="AD135:AD137"/>
    <mergeCell ref="AE135:AE137"/>
    <mergeCell ref="AP138:AP143"/>
    <mergeCell ref="AQ138:AQ143"/>
    <mergeCell ref="AR138:AR143"/>
    <mergeCell ref="AS138:AS143"/>
    <mergeCell ref="AT138:AT143"/>
    <mergeCell ref="BA138:BA143"/>
    <mergeCell ref="AJ138:AJ143"/>
    <mergeCell ref="AK138:AK143"/>
    <mergeCell ref="AL138:AL143"/>
    <mergeCell ref="AM138:AM143"/>
    <mergeCell ref="AN138:AN143"/>
    <mergeCell ref="AO138:AO143"/>
    <mergeCell ref="AD138:AD143"/>
    <mergeCell ref="AE138:AE143"/>
    <mergeCell ref="AF138:AF143"/>
    <mergeCell ref="AG138:AG143"/>
    <mergeCell ref="AH138:AH143"/>
    <mergeCell ref="AI138:AI143"/>
    <mergeCell ref="H151:H153"/>
    <mergeCell ref="I151:I153"/>
    <mergeCell ref="J151:J153"/>
    <mergeCell ref="AQ154:AQ155"/>
    <mergeCell ref="AS144:AS146"/>
    <mergeCell ref="AT144:AT146"/>
    <mergeCell ref="BA144:BA146"/>
    <mergeCell ref="E148:E150"/>
    <mergeCell ref="F148:F150"/>
    <mergeCell ref="G148:G150"/>
    <mergeCell ref="AM144:AM146"/>
    <mergeCell ref="AN144:AN146"/>
    <mergeCell ref="AO144:AO146"/>
    <mergeCell ref="AP144:AP146"/>
    <mergeCell ref="AQ144:AQ146"/>
    <mergeCell ref="AR144:AR146"/>
    <mergeCell ref="AG144:AG146"/>
    <mergeCell ref="AH144:AH146"/>
    <mergeCell ref="AI144:AI146"/>
    <mergeCell ref="AJ144:AJ146"/>
    <mergeCell ref="AK144:AK146"/>
    <mergeCell ref="AL144:AL146"/>
    <mergeCell ref="AA144:AA146"/>
    <mergeCell ref="AB144:AB146"/>
    <mergeCell ref="AC144:AC146"/>
    <mergeCell ref="AD144:AD146"/>
    <mergeCell ref="AE144:AE146"/>
    <mergeCell ref="AF144:AF146"/>
    <mergeCell ref="E144:E147"/>
    <mergeCell ref="F144:F147"/>
    <mergeCell ref="G144:G147"/>
    <mergeCell ref="H144:H146"/>
    <mergeCell ref="J154:J155"/>
    <mergeCell ref="AA154:AA155"/>
    <mergeCell ref="AB154:AB155"/>
    <mergeCell ref="AC154:AC155"/>
    <mergeCell ref="AD154:AD155"/>
    <mergeCell ref="AM151:AM153"/>
    <mergeCell ref="AN151:AN153"/>
    <mergeCell ref="AO151:AO153"/>
    <mergeCell ref="AP151:AP153"/>
    <mergeCell ref="AQ151:AQ153"/>
    <mergeCell ref="AR151:AR153"/>
    <mergeCell ref="AG151:AG153"/>
    <mergeCell ref="AH151:AH153"/>
    <mergeCell ref="AI151:AI153"/>
    <mergeCell ref="AJ151:AJ153"/>
    <mergeCell ref="AK151:AK153"/>
    <mergeCell ref="AL151:AL153"/>
    <mergeCell ref="AA151:AA153"/>
    <mergeCell ref="AB151:AB153"/>
    <mergeCell ref="AC151:AC153"/>
    <mergeCell ref="AD151:AD153"/>
    <mergeCell ref="AE151:AE153"/>
    <mergeCell ref="AF151:AF153"/>
    <mergeCell ref="AR154:AR155"/>
    <mergeCell ref="AS154:AS155"/>
    <mergeCell ref="AT154:AT155"/>
    <mergeCell ref="BA154:BA155"/>
    <mergeCell ref="E156:E159"/>
    <mergeCell ref="F156:F159"/>
    <mergeCell ref="G156:G159"/>
    <mergeCell ref="H156:H159"/>
    <mergeCell ref="I156:I159"/>
    <mergeCell ref="AK154:AK155"/>
    <mergeCell ref="AL154:AL155"/>
    <mergeCell ref="AM154:AM155"/>
    <mergeCell ref="AN154:AN155"/>
    <mergeCell ref="AO154:AO155"/>
    <mergeCell ref="AP154:AP155"/>
    <mergeCell ref="AE154:AE155"/>
    <mergeCell ref="AF154:AF155"/>
    <mergeCell ref="AG154:AG155"/>
    <mergeCell ref="AH154:AH155"/>
    <mergeCell ref="AI154:AI155"/>
    <mergeCell ref="AJ154:AJ155"/>
    <mergeCell ref="E151:E155"/>
    <mergeCell ref="F151:F155"/>
    <mergeCell ref="G151:G155"/>
    <mergeCell ref="AR156:AR159"/>
    <mergeCell ref="AS156:AS159"/>
    <mergeCell ref="AT156:AT159"/>
    <mergeCell ref="BA156:BA159"/>
    <mergeCell ref="AS151:AS153"/>
    <mergeCell ref="AT151:AT153"/>
    <mergeCell ref="BA151:BA153"/>
    <mergeCell ref="H154:H155"/>
    <mergeCell ref="I154:I155"/>
    <mergeCell ref="E160:E175"/>
    <mergeCell ref="F160:F175"/>
    <mergeCell ref="G160:G175"/>
    <mergeCell ref="H160:H161"/>
    <mergeCell ref="I160:I161"/>
    <mergeCell ref="J160:J161"/>
    <mergeCell ref="AL156:AL159"/>
    <mergeCell ref="AM156:AM159"/>
    <mergeCell ref="AN156:AN159"/>
    <mergeCell ref="AO156:AO159"/>
    <mergeCell ref="AP156:AP159"/>
    <mergeCell ref="AQ156:AQ159"/>
    <mergeCell ref="AF156:AF159"/>
    <mergeCell ref="AG156:AG159"/>
    <mergeCell ref="AH156:AH159"/>
    <mergeCell ref="AI156:AI159"/>
    <mergeCell ref="AJ156:AJ159"/>
    <mergeCell ref="AK156:AK159"/>
    <mergeCell ref="J156:J159"/>
    <mergeCell ref="AA156:AA159"/>
    <mergeCell ref="AB156:AB159"/>
    <mergeCell ref="AC156:AC159"/>
    <mergeCell ref="AD156:AD159"/>
    <mergeCell ref="AE156:AE159"/>
    <mergeCell ref="AS160:AS161"/>
    <mergeCell ref="AT160:AT161"/>
    <mergeCell ref="BA160:BA161"/>
    <mergeCell ref="H165:H175"/>
    <mergeCell ref="I165:I171"/>
    <mergeCell ref="J165:J171"/>
    <mergeCell ref="BA165:BA171"/>
    <mergeCell ref="AA166:AA171"/>
    <mergeCell ref="AB166:AB171"/>
    <mergeCell ref="AC166:AC171"/>
    <mergeCell ref="AM160:AM161"/>
    <mergeCell ref="AN160:AN161"/>
    <mergeCell ref="AO160:AO161"/>
    <mergeCell ref="AP160:AP161"/>
    <mergeCell ref="AQ160:AQ161"/>
    <mergeCell ref="AR160:AR161"/>
    <mergeCell ref="AG160:AG161"/>
    <mergeCell ref="AH160:AH161"/>
    <mergeCell ref="AI160:AI161"/>
    <mergeCell ref="AJ160:AJ161"/>
    <mergeCell ref="AK160:AK161"/>
    <mergeCell ref="AL160:AL161"/>
    <mergeCell ref="AA160:AA161"/>
    <mergeCell ref="AB160:AB161"/>
    <mergeCell ref="AC160:AC161"/>
    <mergeCell ref="AD160:AD161"/>
    <mergeCell ref="AE160:AE161"/>
    <mergeCell ref="AF160:AF161"/>
    <mergeCell ref="AP166:AP171"/>
    <mergeCell ref="AQ166:AQ171"/>
    <mergeCell ref="AR166:AR171"/>
    <mergeCell ref="AS166:AS171"/>
    <mergeCell ref="AT166:AT171"/>
    <mergeCell ref="I172:I174"/>
    <mergeCell ref="J172:J174"/>
    <mergeCell ref="AA172:AA174"/>
    <mergeCell ref="AB172:AB174"/>
    <mergeCell ref="AC172:AC174"/>
    <mergeCell ref="AJ166:AJ171"/>
    <mergeCell ref="AK166:AK171"/>
    <mergeCell ref="AL166:AL171"/>
    <mergeCell ref="AM166:AM171"/>
    <mergeCell ref="AN166:AN171"/>
    <mergeCell ref="AO166:AO171"/>
    <mergeCell ref="AD166:AD171"/>
    <mergeCell ref="AE166:AE171"/>
    <mergeCell ref="AF166:AF171"/>
    <mergeCell ref="AG166:AG171"/>
    <mergeCell ref="AH166:AH171"/>
    <mergeCell ref="AI166:AI171"/>
    <mergeCell ref="G176:G178"/>
    <mergeCell ref="H176:H178"/>
    <mergeCell ref="I176:I178"/>
    <mergeCell ref="J176:J178"/>
    <mergeCell ref="AP172:AP174"/>
    <mergeCell ref="AQ172:AQ174"/>
    <mergeCell ref="AR172:AR174"/>
    <mergeCell ref="AS172:AS174"/>
    <mergeCell ref="AT172:AT174"/>
    <mergeCell ref="BA172:BA174"/>
    <mergeCell ref="AJ172:AJ174"/>
    <mergeCell ref="AK172:AK174"/>
    <mergeCell ref="AL172:AL174"/>
    <mergeCell ref="AM172:AM174"/>
    <mergeCell ref="AN172:AN174"/>
    <mergeCell ref="AO172:AO174"/>
    <mergeCell ref="AD172:AD174"/>
    <mergeCell ref="AE172:AE174"/>
    <mergeCell ref="AF172:AF174"/>
    <mergeCell ref="AG172:AG174"/>
    <mergeCell ref="AH172:AH174"/>
    <mergeCell ref="AI172:AI174"/>
    <mergeCell ref="AF179:AF182"/>
    <mergeCell ref="AG179:AG182"/>
    <mergeCell ref="AS176:AS178"/>
    <mergeCell ref="AT176:AT178"/>
    <mergeCell ref="BA176:BA178"/>
    <mergeCell ref="E179:E182"/>
    <mergeCell ref="F179:F182"/>
    <mergeCell ref="G179:G182"/>
    <mergeCell ref="H179:H182"/>
    <mergeCell ref="I179:I180"/>
    <mergeCell ref="J179:J180"/>
    <mergeCell ref="AA179:AA182"/>
    <mergeCell ref="AM176:AM178"/>
    <mergeCell ref="AN176:AN178"/>
    <mergeCell ref="AO176:AO178"/>
    <mergeCell ref="AP176:AP178"/>
    <mergeCell ref="AQ176:AQ178"/>
    <mergeCell ref="AR176:AR178"/>
    <mergeCell ref="AG176:AG178"/>
    <mergeCell ref="AH176:AH178"/>
    <mergeCell ref="AI176:AI178"/>
    <mergeCell ref="AJ176:AJ178"/>
    <mergeCell ref="AK176:AK178"/>
    <mergeCell ref="AL176:AL178"/>
    <mergeCell ref="AA176:AA178"/>
    <mergeCell ref="AB176:AB178"/>
    <mergeCell ref="AC176:AC178"/>
    <mergeCell ref="AD176:AD178"/>
    <mergeCell ref="AE176:AE178"/>
    <mergeCell ref="AF176:AF178"/>
    <mergeCell ref="E176:E178"/>
    <mergeCell ref="F176:F178"/>
    <mergeCell ref="G183:G186"/>
    <mergeCell ref="H183:H186"/>
    <mergeCell ref="I183:I184"/>
    <mergeCell ref="J183:J184"/>
    <mergeCell ref="AA183:AA186"/>
    <mergeCell ref="AB183:AB186"/>
    <mergeCell ref="AT179:AT182"/>
    <mergeCell ref="BA179:BA182"/>
    <mergeCell ref="I181:I182"/>
    <mergeCell ref="J181:J182"/>
    <mergeCell ref="A183:A186"/>
    <mergeCell ref="B183:B186"/>
    <mergeCell ref="C183:C186"/>
    <mergeCell ref="D183:D186"/>
    <mergeCell ref="E183:E186"/>
    <mergeCell ref="F183:F186"/>
    <mergeCell ref="AN179:AN182"/>
    <mergeCell ref="AO179:AO182"/>
    <mergeCell ref="AP179:AP182"/>
    <mergeCell ref="AQ179:AQ182"/>
    <mergeCell ref="AR179:AR182"/>
    <mergeCell ref="AS179:AS182"/>
    <mergeCell ref="AH179:AH182"/>
    <mergeCell ref="AI179:AI182"/>
    <mergeCell ref="AJ179:AJ182"/>
    <mergeCell ref="AK179:AK182"/>
    <mergeCell ref="AL179:AL182"/>
    <mergeCell ref="AM179:AM182"/>
    <mergeCell ref="AB179:AB182"/>
    <mergeCell ref="AC179:AC182"/>
    <mergeCell ref="AD179:AD182"/>
    <mergeCell ref="AE179:AE182"/>
    <mergeCell ref="BA183:BA186"/>
    <mergeCell ref="I185:I186"/>
    <mergeCell ref="J185:J186"/>
    <mergeCell ref="AO183:AO186"/>
    <mergeCell ref="AP183:AP186"/>
    <mergeCell ref="AQ183:AQ186"/>
    <mergeCell ref="AR183:AR186"/>
    <mergeCell ref="AS183:AS186"/>
    <mergeCell ref="AT183:AT186"/>
    <mergeCell ref="AI183:AI186"/>
    <mergeCell ref="AJ183:AJ186"/>
    <mergeCell ref="AK183:AK186"/>
    <mergeCell ref="AL183:AL186"/>
    <mergeCell ref="AM183:AM186"/>
    <mergeCell ref="AN183:AN186"/>
    <mergeCell ref="AC183:AC186"/>
    <mergeCell ref="AD183:AD186"/>
    <mergeCell ref="AE183:AE186"/>
    <mergeCell ref="AF183:AF186"/>
    <mergeCell ref="AG183:AG186"/>
    <mergeCell ref="AH183:AH186"/>
  </mergeCells>
  <dataValidations count="1">
    <dataValidation type="list" allowBlank="1" showInputMessage="1" showErrorMessage="1" sqref="G10:G186">
      <formula1>#REF!</formula1>
    </dataValidation>
  </dataValidations>
  <printOptions horizontalCentered="1" verticalCentered="1"/>
  <pageMargins left="0.19685039370078741" right="0.19685039370078741" top="0.39370078740157483" bottom="0.15748031496062992" header="0.31496062992125984" footer="0.31496062992125984"/>
  <pageSetup paperSize="121" scale="22"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MAO</vt:lpstr>
      <vt:lpstr>MAO!Títulos_a_imprimir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dc:creator>
  <cp:lastModifiedBy>Corponariño</cp:lastModifiedBy>
  <dcterms:created xsi:type="dcterms:W3CDTF">2024-10-25T17:10:10Z</dcterms:created>
  <dcterms:modified xsi:type="dcterms:W3CDTF">2025-06-24T15:01:00Z</dcterms:modified>
</cp:coreProperties>
</file>